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600" tabRatio="898" firstSheet="1" activeTab="1"/>
  </bookViews>
  <sheets>
    <sheet name="Info Changes and Vacancy   " sheetId="1" r:id="rId1"/>
    <sheet name="Form 1A" sheetId="2" r:id="rId2"/>
    <sheet name="Form 1B" sheetId="3" r:id="rId3"/>
    <sheet name="Form 2A" sheetId="4" r:id="rId4"/>
    <sheet name="Form 2B" sheetId="5" r:id="rId5"/>
    <sheet name="Form 3" sheetId="6" r:id="rId6"/>
    <sheet name="Form 3A" sheetId="7" r:id="rId7"/>
    <sheet name="Form 3B" sheetId="8" r:id="rId8"/>
    <sheet name="Form 3C" sheetId="9" r:id="rId9"/>
    <sheet name="Form 3D" sheetId="10" r:id="rId10"/>
    <sheet name="Form 3E" sheetId="11" r:id="rId11"/>
    <sheet name="Form 3F" sheetId="12" r:id="rId12"/>
    <sheet name="Form 4A" sheetId="13" r:id="rId13"/>
    <sheet name="Form 4B" sheetId="14" r:id="rId14"/>
    <sheet name="Form 4C" sheetId="15" r:id="rId15"/>
    <sheet name="Form 4D" sheetId="16" r:id="rId16"/>
    <sheet name="Form 4E" sheetId="17" r:id="rId17"/>
    <sheet name="Form 4F" sheetId="18" r:id="rId18"/>
    <sheet name="Form 4G" sheetId="19" r:id="rId19"/>
    <sheet name="Form 4H" sheetId="20" r:id="rId20"/>
    <sheet name="Form 4I" sheetId="21" r:id="rId21"/>
    <sheet name="Form 4J" sheetId="22" r:id="rId22"/>
    <sheet name="Form 4K" sheetId="23" r:id="rId23"/>
    <sheet name="Form 4L" sheetId="24" r:id="rId24"/>
    <sheet name="Form 4M" sheetId="25" r:id="rId25"/>
    <sheet name="Form 4N" sheetId="26" r:id="rId26"/>
    <sheet name="Form 5A" sheetId="27" r:id="rId27"/>
    <sheet name="Form 5B" sheetId="28" r:id="rId28"/>
    <sheet name="Cost Sheet" sheetId="29" state="hidden" r:id="rId29"/>
    <sheet name="Cal Info" sheetId="30" r:id="rId30"/>
    <sheet name="Ed Calendar" sheetId="31" r:id="rId31"/>
    <sheet name="Res Calendar" sheetId="32" r:id="rId32"/>
    <sheet name="ESY Calendar" sheetId="33" r:id="rId33"/>
    <sheet name="(Data)" sheetId="34" state="hidden" r:id="rId34"/>
  </sheets>
  <definedNames>
    <definedName name="_xlfn.AGGREGATE" hidden="1">#NAME?</definedName>
    <definedName name="_xlfn.SINGLE" hidden="1">#NAME?</definedName>
    <definedName name="AdminHead">'Form 1A'!$B$9</definedName>
    <definedName name="BeginningDate">'Cost Sheet'!$M$19</definedName>
    <definedName name="cl1st3ACost">'Form 3'!$D$6</definedName>
    <definedName name="cl1st3ADesc">'Form 3'!$B$6</definedName>
    <definedName name="cl1st3AExpl">'Form 3'!$E$6</definedName>
    <definedName name="cl1st3AFTE">'Form 3'!$C$6</definedName>
    <definedName name="cl1st3AHidID">'Form 3'!$G$6</definedName>
    <definedName name="cl1st3APos">'Form 3'!$A$6</definedName>
    <definedName name="cl1st3BCost">'Form 3A'!$D$6</definedName>
    <definedName name="cl1st3BDesc">'Form 3A'!$B$6</definedName>
    <definedName name="cl1st3BExpl">'Form 3A'!$F$6</definedName>
    <definedName name="cl1st3BFTE">'Form 3A'!$C$6</definedName>
    <definedName name="cl1st3BHidID">'Form 3A'!$H$6</definedName>
    <definedName name="cl1st3BPos">'Form 3A'!$A$6</definedName>
    <definedName name="cl1st3CCost">'Form 3B'!$D$6</definedName>
    <definedName name="cl1st3CDesc">'Form 3B'!$B$6</definedName>
    <definedName name="cl1st3CExpl">'Form 3B'!$F$6</definedName>
    <definedName name="cl1st3CFTE">'Form 3B'!$C$6</definedName>
    <definedName name="cl1st3CHidID">'Form 3B'!$H$6</definedName>
    <definedName name="cl1st3CPos">'Form 3B'!$A$6</definedName>
    <definedName name="cl1st3DCost">'Form 3C'!$D$6</definedName>
    <definedName name="cl1st3DDesc">'Form 3C'!$B$6</definedName>
    <definedName name="cl1st3DExpl">'Form 3C'!$F$6</definedName>
    <definedName name="cl1st3DFTE">'Form 3C'!$C$6</definedName>
    <definedName name="cl1st3DHidID">'Form 3C'!$H$6</definedName>
    <definedName name="cl1st3DPos">'Form 3C'!$A$6</definedName>
    <definedName name="cl1st3ECost">'Form 3D'!$D$6</definedName>
    <definedName name="cl1st3EDesc">'Form 3D'!$B$6</definedName>
    <definedName name="cl1st3EExpl">'Form 3D'!$F$6</definedName>
    <definedName name="cl1st3EFTE">'Form 3D'!$C$6</definedName>
    <definedName name="cl1st3EHidID">'Form 3D'!$H$6</definedName>
    <definedName name="cl1st3EPos">'Form 3D'!$A$6</definedName>
    <definedName name="cl1st3FCost">#REF!</definedName>
    <definedName name="cl1st3FDesc">#REF!</definedName>
    <definedName name="cl1st3FExpl">#REF!</definedName>
    <definedName name="cl1st3FFTE">#REF!</definedName>
    <definedName name="cl1st3FHidID">#REF!</definedName>
    <definedName name="cl1st3FPos">#REF!</definedName>
    <definedName name="cl1st3HDesc">'Form 3F'!$B$6</definedName>
    <definedName name="cl1st3HExpl">'Form 3F'!$F$6</definedName>
    <definedName name="cl1st3HFTE">'Form 3F'!$C$6</definedName>
    <definedName name="cl1st3HHidID">'Form 3F'!$H$6</definedName>
    <definedName name="cl1st3HInd">'Form 3F'!$D$6</definedName>
    <definedName name="cl1st3HPos">'Form 3F'!$A$6</definedName>
    <definedName name="cl1st4ADesc">'Form 4A'!$B$6</definedName>
    <definedName name="cl1st4ADir">'Form 4A'!$C$6</definedName>
    <definedName name="cl1st4AExpl">'Form 4A'!$E$6</definedName>
    <definedName name="cl1st4AHidID">'Form 4A'!$G$6</definedName>
    <definedName name="cl1st4AInd">'Form 4A'!$D$6</definedName>
    <definedName name="cl1st4AItem">'Form 4A'!$A$6</definedName>
    <definedName name="cl1st4BDesc">'Form 4B'!$B$6</definedName>
    <definedName name="cl1st4BDir">'Form 4B'!$C$6</definedName>
    <definedName name="cl1st4BExpl">'Form 4B'!$E$6</definedName>
    <definedName name="cl1st4BHidID">'Form 4B'!$G$6</definedName>
    <definedName name="cl1st4BInd">'Form 4B'!$D$6</definedName>
    <definedName name="cl1st4BItem">'Form 4B'!$A$6</definedName>
    <definedName name="cl1st4CDesc">'Form 4C'!$B$6</definedName>
    <definedName name="cl1st4CDir">'Form 4C'!$C$6</definedName>
    <definedName name="cl1st4CExpl">'Form 4C'!$E$6</definedName>
    <definedName name="cl1st4CHidID">'Form 4C'!$G$6</definedName>
    <definedName name="cl1st4CInd">'Form 4C'!$D$6</definedName>
    <definedName name="cl1st4CItem">'Form 4C'!$A$6</definedName>
    <definedName name="cl1st4DDesc">'Form 4D'!$B$6</definedName>
    <definedName name="cl1st4DDir">'Form 4D'!$C$6</definedName>
    <definedName name="cl1st4DExpl">'Form 4D'!$E$6</definedName>
    <definedName name="cl1st4DHidID">'Form 4D'!$G$6</definedName>
    <definedName name="cl1st4DInd">'Form 4D'!$D$6</definedName>
    <definedName name="cl1st4DItem">'Form 4D'!$A$6</definedName>
    <definedName name="cl1st4EDesc">'Form 4E'!$B$6</definedName>
    <definedName name="cl1st4EDir">'Form 4E'!$C$6</definedName>
    <definedName name="cl1st4EExpl">'Form 4E'!$E$6</definedName>
    <definedName name="cl1st4EHidID">'Form 4E'!$G$6</definedName>
    <definedName name="cl1st4EInd">'Form 4E'!$D$6</definedName>
    <definedName name="cl1st4EItem">'Form 4E'!$A$6</definedName>
    <definedName name="cl1st4FDesc">'Form 4F'!$B$6</definedName>
    <definedName name="cl1st4FDir">'Form 4F'!$C$6</definedName>
    <definedName name="cl1st4FExpl">'Form 4F'!$E$6</definedName>
    <definedName name="cl1st4FHidID">'Form 4F'!$G$6</definedName>
    <definedName name="cl1st4FInd">'Form 4F'!$D$6</definedName>
    <definedName name="cl1st4FItem">'Form 4F'!$A$6</definedName>
    <definedName name="cl1st4GDesc">'Form 4G'!$B$6</definedName>
    <definedName name="cl1st4GDir">'Form 4G'!$C$6</definedName>
    <definedName name="cl1st4GExpl">'Form 4G'!$E$6</definedName>
    <definedName name="cl1st4GHidID">'Form 4G'!$G$6</definedName>
    <definedName name="cl1st4GInd">'Form 4G'!$D$6</definedName>
    <definedName name="cl1st4GItem">'Form 4G'!$A$6</definedName>
    <definedName name="cl1st4HDesc">'Form 4H'!$B$6</definedName>
    <definedName name="cl1st4HDir">'Form 4H'!$C$6</definedName>
    <definedName name="cl1st4HExpl">'Form 4H'!$E$6</definedName>
    <definedName name="cl1st4HHidID">'Form 4H'!$G$6</definedName>
    <definedName name="cl1st4HInd">'Form 4H'!$D$6</definedName>
    <definedName name="cl1st4HItem">'Form 4H'!$A$6</definedName>
    <definedName name="cl1st4IDesc">'Form 4I'!$B$6</definedName>
    <definedName name="cl1st4IDir">'Form 4I'!$C$6</definedName>
    <definedName name="cl1st4IExpl">'Form 4I'!$E$6</definedName>
    <definedName name="cl1st4IHidID">'Form 4I'!$G$6</definedName>
    <definedName name="cl1st4IInd">'Form 4I'!$D$6</definedName>
    <definedName name="cl1st4IItem">'Form 4I'!$A$6</definedName>
    <definedName name="cl1st4JDesc">'Form 4J'!$B$6</definedName>
    <definedName name="cl1st4JDir">'Form 4J'!$C$6</definedName>
    <definedName name="cl1st4JExpl">'Form 4J'!$E$6</definedName>
    <definedName name="cl1st4JHidID">'Form 4J'!$G$6</definedName>
    <definedName name="cl1st4JInd">'Form 4J'!$D$6</definedName>
    <definedName name="cl1st4JItem">'Form 4J'!$A$6</definedName>
    <definedName name="cl1st4KDesc">'Form 4K'!$B$6</definedName>
    <definedName name="cl1st4KDir">'Form 4K'!$C$6</definedName>
    <definedName name="cl1st4KExpl">'Form 4K'!$E$6</definedName>
    <definedName name="cl1st4KHidID">'Form 4K'!$G$6</definedName>
    <definedName name="cl1st4KInd">'Form 4K'!$D$6</definedName>
    <definedName name="cl1st4KItem">'Form 4K'!$A$6</definedName>
    <definedName name="cl1st4LDesc">'Form 4L'!$B$6</definedName>
    <definedName name="cl1st4LDir">'Form 4L'!$C$6</definedName>
    <definedName name="cl1st4LExpl">'Form 4L'!$E$6</definedName>
    <definedName name="cl1st4LHidID">'Form 4L'!$G$6</definedName>
    <definedName name="cl1st4LInd">'Form 4L'!$D$6</definedName>
    <definedName name="cl1st4LItem">'Form 4L'!$A$6</definedName>
    <definedName name="cl1st4MDesc">'Form 4M'!$B$6</definedName>
    <definedName name="cl1st4MDir">'Form 4M'!$C$6</definedName>
    <definedName name="cl1st4MExpl">'Form 4M'!$E$6</definedName>
    <definedName name="cl1st4MHidID">'Form 4M'!$G$6</definedName>
    <definedName name="cl1st4MInd">'Form 4M'!$D$6</definedName>
    <definedName name="cl1st4MItem">'Form 4M'!$A$6</definedName>
    <definedName name="cl1st4NDesc">'Form 4N'!$B$6</definedName>
    <definedName name="cl1st4NDir">'Form 4N'!$C$6</definedName>
    <definedName name="cl1st4NExpl">'Form 4N'!$E$6</definedName>
    <definedName name="cl1st4NHidID">'Form 4N'!$G$6</definedName>
    <definedName name="cl1st4NInd">'Form 4N'!$D$6</definedName>
    <definedName name="cl1st4NItem">'Form 4N'!$A$6</definedName>
    <definedName name="cl1st4ODesc">#REF!</definedName>
    <definedName name="cl1st4ODir">#REF!</definedName>
    <definedName name="cl1st4OExpl">#REF!</definedName>
    <definedName name="cl1st4OHidID">#REF!</definedName>
    <definedName name="cl1st4OInd">#REF!</definedName>
    <definedName name="cl1st4OItem">#REF!</definedName>
    <definedName name="clAdmHead">'Info Changes and Vacancy   '!$B$9</definedName>
    <definedName name="clAdminEmail">'Form 1A'!$I$9</definedName>
    <definedName name="clCa2DayCount1">'Res Calendar'!$F$30</definedName>
    <definedName name="clCa2DayCount2">'Res Calendar'!$N$30</definedName>
    <definedName name="clCa2DayCount3">'Res Calendar'!$V$30</definedName>
    <definedName name="clCa2DayCount4">'Res Calendar'!$AD$30</definedName>
    <definedName name="clCa2FirstDay">'(Data)'!$G$2</definedName>
    <definedName name="clCa2FirstDayD">'Cal Info'!$F$4</definedName>
    <definedName name="clCa2FirstDayM">'Cal Info'!$E$4</definedName>
    <definedName name="clCa2From1">'(Data)'!$G$23</definedName>
    <definedName name="clCa2From1D">'Cal Info'!$F$26</definedName>
    <definedName name="clCa2From1M">'Cal Info'!$E$26</definedName>
    <definedName name="clCa2From2">'(Data)'!$G$25</definedName>
    <definedName name="clCa2From2D">'Cal Info'!$F$28</definedName>
    <definedName name="clCa2From2M">'Cal Info'!$E$28</definedName>
    <definedName name="clCa2From3">'(Data)'!$G$27</definedName>
    <definedName name="clCa2From3D">'Cal Info'!$F$30</definedName>
    <definedName name="clCa2From3M">'Cal Info'!$E$30</definedName>
    <definedName name="clCa2From4">'(Data)'!$G$29</definedName>
    <definedName name="clCa2From4D">'Cal Info'!$F$32</definedName>
    <definedName name="clCa2From4M">'Cal Info'!$E$32</definedName>
    <definedName name="clCa2From5">'(Data)'!$G$31</definedName>
    <definedName name="clCa2From5D">'Cal Info'!$F$34</definedName>
    <definedName name="clCa2From5M">'Cal Info'!$E$34</definedName>
    <definedName name="clCa2From6">'(Data)'!$G$33</definedName>
    <definedName name="clCa2From6D">'Cal Info'!$F$36</definedName>
    <definedName name="clCa2From6M">'Cal Info'!$E$36</definedName>
    <definedName name="clCa2From7">'(Data)'!$G$35</definedName>
    <definedName name="clCa2From7D">'Cal Info'!$F$38</definedName>
    <definedName name="clCa2From7M">'Cal Info'!$E$38</definedName>
    <definedName name="clCa2From8">'(Data)'!$G$37</definedName>
    <definedName name="clCa2From8D">'Cal Info'!$F$40</definedName>
    <definedName name="clCa2From8M">'Cal Info'!$E$40</definedName>
    <definedName name="clCa2Hol1">'(Data)'!$G$5</definedName>
    <definedName name="clCa2Hol10">'(Data)'!$G$14</definedName>
    <definedName name="clCa2Hol10D">'Cal Info'!$F$17</definedName>
    <definedName name="clCa2Hol10M">'Cal Info'!$E$17</definedName>
    <definedName name="clCa2Hol11">'(Data)'!$G$15</definedName>
    <definedName name="clCa2Hol11D">'Cal Info'!$F$18</definedName>
    <definedName name="clCa2Hol11M">'Cal Info'!$E$18</definedName>
    <definedName name="clCa2Hol12">'(Data)'!$G$16</definedName>
    <definedName name="clCa2Hol12D">'Cal Info'!$F$19</definedName>
    <definedName name="clCa2Hol12M">'Cal Info'!$E$19</definedName>
    <definedName name="clCa2Hol13">'(Data)'!$G$17</definedName>
    <definedName name="clCa2Hol13D">'Cal Info'!$F$20</definedName>
    <definedName name="clCa2Hol13M">'Cal Info'!$E$20</definedName>
    <definedName name="clCa2Hol14">'(Data)'!$G$18</definedName>
    <definedName name="clCa2Hol14D">'Cal Info'!$F$21</definedName>
    <definedName name="clCa2Hol14M">'Cal Info'!$E$21</definedName>
    <definedName name="clCa2Hol15">'(Data)'!$G$19</definedName>
    <definedName name="clCa2Hol15D">'Cal Info'!$F$22</definedName>
    <definedName name="clCa2Hol15M">'Cal Info'!$E$22</definedName>
    <definedName name="clCa2Hol16">'(Data)'!$G$20</definedName>
    <definedName name="clCa2Hol16D">'Cal Info'!$F$23</definedName>
    <definedName name="clCa2Hol16M">'Cal Info'!$E$23</definedName>
    <definedName name="clCa2Hol17">'(Data)'!$G$21</definedName>
    <definedName name="clCa2Hol17D">'Cal Info'!$F$24</definedName>
    <definedName name="clCa2Hol17M">'Cal Info'!$E$24</definedName>
    <definedName name="clCa2Hol18">'(Data)'!$G$22</definedName>
    <definedName name="clCa2Hol18D">'Cal Info'!$F$25</definedName>
    <definedName name="clCa2Hol18M">'Cal Info'!$E$25</definedName>
    <definedName name="clCa2Hol1D">'Cal Info'!$F$8</definedName>
    <definedName name="clCa2Hol1M">'Cal Info'!$E$8</definedName>
    <definedName name="clCa2Hol2">'(Data)'!$G$6</definedName>
    <definedName name="clCa2Hol2D">'Cal Info'!$F$9</definedName>
    <definedName name="clCa2Hol2M">'Cal Info'!$E$9</definedName>
    <definedName name="clCa2Hol3">'(Data)'!$G$7</definedName>
    <definedName name="clCa2Hol3D">'Cal Info'!$F$10</definedName>
    <definedName name="clCa2Hol3M">'Cal Info'!$E$10</definedName>
    <definedName name="clCa2Hol4">'(Data)'!$G$8</definedName>
    <definedName name="clCa2Hol4D">'Cal Info'!$F$11</definedName>
    <definedName name="clCa2Hol4M">'Cal Info'!$E$11</definedName>
    <definedName name="clCa2Hol5">'(Data)'!$G$9</definedName>
    <definedName name="clCa2Hol5D">'Cal Info'!$F$12</definedName>
    <definedName name="clCa2Hol5M">'Cal Info'!$E$12</definedName>
    <definedName name="clCa2Hol6">'(Data)'!$G$10</definedName>
    <definedName name="clCa2Hol6D">'Cal Info'!$F$13</definedName>
    <definedName name="clCa2Hol6M">'Cal Info'!$E$13</definedName>
    <definedName name="clCa2Hol7">'(Data)'!$G$11</definedName>
    <definedName name="clCa2Hol7D">'Cal Info'!$F$14</definedName>
    <definedName name="clCa2Hol7M">'Cal Info'!$E$14</definedName>
    <definedName name="clCa2Hol8">'(Data)'!$G$12</definedName>
    <definedName name="clCa2Hol8D">'Cal Info'!$F$15</definedName>
    <definedName name="clCa2Hol8M">'Cal Info'!$E$15</definedName>
    <definedName name="clCa2Hol9">'(Data)'!$G$13</definedName>
    <definedName name="clCa2Hol9D">'Cal Info'!$F$16</definedName>
    <definedName name="clCa2Hol9M">'Cal Info'!$E$16</definedName>
    <definedName name="clCa2Hours">'Cal Info'!$E$7</definedName>
    <definedName name="clCa2LastDay">'(Data)'!$G$3</definedName>
    <definedName name="clCa2LastDayD">'Cal Info'!$F$5</definedName>
    <definedName name="clCa2LastDayM">'Cal Info'!$E$5</definedName>
    <definedName name="clCa2NoWEnd">'Cal Info'!$E$6</definedName>
    <definedName name="clCa2To1">'(Data)'!$G$24</definedName>
    <definedName name="clCa2To1D">'Cal Info'!$F$27</definedName>
    <definedName name="clCa2To1M">'Cal Info'!$E$27</definedName>
    <definedName name="clCa2To2">'(Data)'!$G$26</definedName>
    <definedName name="clCa2To2D">'Cal Info'!$F$29</definedName>
    <definedName name="clCa2To2M">'Cal Info'!$E$29</definedName>
    <definedName name="clCa2To3">'(Data)'!$G$28</definedName>
    <definedName name="clCa2To3D">'Cal Info'!$F$31</definedName>
    <definedName name="clCa2To3M">'Cal Info'!$E$31</definedName>
    <definedName name="clCa2To4">'(Data)'!$G$30</definedName>
    <definedName name="clCa2To4D">'Cal Info'!$F$33</definedName>
    <definedName name="clCa2To4M">'Cal Info'!$E$33</definedName>
    <definedName name="clCa2To5">'(Data)'!$G$32</definedName>
    <definedName name="clCa2To5D">'Cal Info'!$F$35</definedName>
    <definedName name="clCa2To5M">'Cal Info'!$E$35</definedName>
    <definedName name="clCa2To6">'(Data)'!$G$34</definedName>
    <definedName name="clCa2To6D">'Cal Info'!$F$37</definedName>
    <definedName name="clCa2To6M">'Cal Info'!$E$37</definedName>
    <definedName name="clCa2To7">'(Data)'!$G$36</definedName>
    <definedName name="clCa2To7D">'Cal Info'!$F$39</definedName>
    <definedName name="clCa2To7M">'Cal Info'!$E$39</definedName>
    <definedName name="clCa2To8">'(Data)'!$G$38</definedName>
    <definedName name="clCa2To8D">'Cal Info'!$F$41</definedName>
    <definedName name="clCa2To8M">'Cal Info'!$E$41</definedName>
    <definedName name="clCa3DayCount1">'ESY Calendar'!$F$30</definedName>
    <definedName name="clCa3DayCount2">'ESY Calendar'!$N$30</definedName>
    <definedName name="clCa3DayCount3">'ESY Calendar'!$V$30</definedName>
    <definedName name="clCa3DayCount4">'ESY Calendar'!$AD$30</definedName>
    <definedName name="clCa3FirstDay">'(Data)'!$H$2</definedName>
    <definedName name="clCa3FirstDay2">'(Data)'!$H$4</definedName>
    <definedName name="clCa3FirstDay2D">'Cal Info'!$J$6</definedName>
    <definedName name="clCa3FirstDay2M">'Cal Info'!$I$6</definedName>
    <definedName name="clCa3FirstDayD">'Cal Info'!$J$4</definedName>
    <definedName name="clCa3FirstDayM">'Cal Info'!$I$4</definedName>
    <definedName name="clCa3From1">'(Data)'!$H$17</definedName>
    <definedName name="clCa3From1D">'Cal Info'!$J$20</definedName>
    <definedName name="clCa3From1M">'Cal Info'!$I$20</definedName>
    <definedName name="clCa3From2">'(Data)'!$H$19</definedName>
    <definedName name="clCa3From2D">'Cal Info'!$J$22</definedName>
    <definedName name="clCa3From2M">'Cal Info'!$I$22</definedName>
    <definedName name="clCa3From3">'(Data)'!$H$21</definedName>
    <definedName name="clCa3From3D">'Cal Info'!$J$24</definedName>
    <definedName name="clCa3From3M">'Cal Info'!$I$24</definedName>
    <definedName name="clCa3From4">'(Data)'!$H$23</definedName>
    <definedName name="clCa3From4D">'Cal Info'!$J$26</definedName>
    <definedName name="clCa3From4M">'Cal Info'!$I$26</definedName>
    <definedName name="clCa3From5">'(Data)'!$H$25</definedName>
    <definedName name="clCa3From5D">'Cal Info'!$J$28</definedName>
    <definedName name="clCa3From5M">'Cal Info'!$I$28</definedName>
    <definedName name="clCa3From6">'(Data)'!$H$27</definedName>
    <definedName name="clCa3From6D">'Cal Info'!$J$30</definedName>
    <definedName name="clCa3From6M">'Cal Info'!$I$30</definedName>
    <definedName name="clCa3Hol1">'(Data)'!$H$7</definedName>
    <definedName name="clCa3Hol10">'(Data)'!$H$16</definedName>
    <definedName name="clCa3Hol10D">'Cal Info'!$J$19</definedName>
    <definedName name="clCa3Hol10M">'Cal Info'!$I$19</definedName>
    <definedName name="clCa3Hol1D">'Cal Info'!$J$10</definedName>
    <definedName name="clCa3Hol1M">'Cal Info'!$I$10</definedName>
    <definedName name="clCa3Hol2">'(Data)'!$H$8</definedName>
    <definedName name="clCa3Hol2D">'Cal Info'!$J$11</definedName>
    <definedName name="clCa3Hol2M">'Cal Info'!$I$11</definedName>
    <definedName name="clCa3Hol3">'(Data)'!$H$9</definedName>
    <definedName name="clCa3Hol3D">'Cal Info'!$J$12</definedName>
    <definedName name="clCa3Hol3M">'Cal Info'!$I$12</definedName>
    <definedName name="clCa3Hol4">'(Data)'!$H$10</definedName>
    <definedName name="clCa3Hol4D">'Cal Info'!$J$13</definedName>
    <definedName name="clCa3Hol4M">'Cal Info'!$I$13</definedName>
    <definedName name="clCa3Hol5">'(Data)'!$H$11</definedName>
    <definedName name="clCa3Hol5D">'Cal Info'!$J$14</definedName>
    <definedName name="clCa3Hol5M">'Cal Info'!$I$14</definedName>
    <definedName name="clCa3Hol6">'(Data)'!$H$12</definedName>
    <definedName name="clCa3Hol6D">'Cal Info'!$J$15</definedName>
    <definedName name="clCa3Hol6M">'Cal Info'!$I$15</definedName>
    <definedName name="clCa3Hol7">'(Data)'!$H$13</definedName>
    <definedName name="clCa3Hol7D">'Cal Info'!$J$16</definedName>
    <definedName name="clCa3Hol7M">'Cal Info'!$I$16</definedName>
    <definedName name="clCa3Hol8">'(Data)'!$H$14</definedName>
    <definedName name="clCa3Hol8D">'Cal Info'!$J$17</definedName>
    <definedName name="clCa3Hol8M">'Cal Info'!$I$17</definedName>
    <definedName name="clCa3Hol9">'(Data)'!$H$15</definedName>
    <definedName name="clCa3Hol9D">'Cal Info'!$J$18</definedName>
    <definedName name="clCa3Hol9M">'Cal Info'!$I$18</definedName>
    <definedName name="clCa3Hours">'Cal Info'!$I$9</definedName>
    <definedName name="clCa3LastDay">'(Data)'!$H$3</definedName>
    <definedName name="clCa3LastDay2">'(Data)'!$H$5</definedName>
    <definedName name="clCa3LastDay2D">'Cal Info'!$J$7</definedName>
    <definedName name="clCa3LastDay2M">'Cal Info'!$I$7</definedName>
    <definedName name="clCa3LastDayD">'Cal Info'!$J$5</definedName>
    <definedName name="clCa3LastDayM">'Cal Info'!$I$5</definedName>
    <definedName name="clCa3NoWEnd">'Cal Info'!$I$8</definedName>
    <definedName name="clCa3To1">'(Data)'!$H$18</definedName>
    <definedName name="clCa3To1D">'Cal Info'!$J$21</definedName>
    <definedName name="clCa3To1M">'Cal Info'!$I$21</definedName>
    <definedName name="clCa3To2">'(Data)'!$H$20</definedName>
    <definedName name="clCa3To2D">'Cal Info'!$J$23</definedName>
    <definedName name="clCa3To2M">'Cal Info'!$I$23</definedName>
    <definedName name="clCa3To3">'(Data)'!$H$22</definedName>
    <definedName name="clCa3To3D">'Cal Info'!$J$25</definedName>
    <definedName name="clCa3To3M">'Cal Info'!$I$25</definedName>
    <definedName name="clCa3To4">'(Data)'!$H$24</definedName>
    <definedName name="clCa3To4D">'Cal Info'!$J$27</definedName>
    <definedName name="clCa3To4M">'Cal Info'!$I$27</definedName>
    <definedName name="clCa3To5">'(Data)'!$H$26</definedName>
    <definedName name="clCa3To5D">'Cal Info'!$J$29</definedName>
    <definedName name="clCa3To5M">'Cal Info'!$I$29</definedName>
    <definedName name="clCa3To6">'(Data)'!$H$28</definedName>
    <definedName name="clCa3To6D">'Cal Info'!$J$31</definedName>
    <definedName name="clCa3To6M">'Cal Info'!$I$31</definedName>
    <definedName name="clCalDayCount1" localSheetId="32">'Ed Calendar'!$F$30</definedName>
    <definedName name="clCalDayCount1" localSheetId="31">'Res Calendar'!$F$30</definedName>
    <definedName name="clCalDayCount1">'Ed Calendar'!$F$30</definedName>
    <definedName name="clCalDayCount2" localSheetId="32">'ESY Calendar'!$N$30</definedName>
    <definedName name="clCalDayCount2" localSheetId="31">'Res Calendar'!$N$30</definedName>
    <definedName name="clCalDayCount2">'Ed Calendar'!$N$30</definedName>
    <definedName name="clCalDayCount3" localSheetId="32">'ESY Calendar'!$V$30</definedName>
    <definedName name="clCalDayCount3" localSheetId="31">'Res Calendar'!$V$30</definedName>
    <definedName name="clCalDayCount3">'Ed Calendar'!$V$30</definedName>
    <definedName name="clCalDayCount4" localSheetId="32">'ESY Calendar'!$AD$30</definedName>
    <definedName name="clCalDayCount4" localSheetId="31">'Res Calendar'!$AD$30</definedName>
    <definedName name="clCalDayCount4">'Ed Calendar'!$AD$30</definedName>
    <definedName name="clCalFirstDay">'(Data)'!$F$2</definedName>
    <definedName name="clCalFirstDayD">'Cal Info'!$C$4</definedName>
    <definedName name="clCalFirstDayM">'Cal Info'!$B$4</definedName>
    <definedName name="clCalFrom1">'(Data)'!$F$23</definedName>
    <definedName name="clCalFrom1D">'Cal Info'!$C$26</definedName>
    <definedName name="clCalFrom1M">'Cal Info'!$B$26</definedName>
    <definedName name="clCalFrom2">'(Data)'!$F$25</definedName>
    <definedName name="clCalFrom2D">'Cal Info'!$C$28</definedName>
    <definedName name="clCalFrom2M">'Cal Info'!$B$28</definedName>
    <definedName name="clCalFrom3">'(Data)'!$F$27</definedName>
    <definedName name="clCalFrom3D">'Cal Info'!$C$30</definedName>
    <definedName name="clCalFrom3M">'Cal Info'!$B$30</definedName>
    <definedName name="clCalFrom4">'(Data)'!$F$29</definedName>
    <definedName name="clCalFrom4D">'Cal Info'!$C$32</definedName>
    <definedName name="clCalFrom4M">'Cal Info'!$B$32</definedName>
    <definedName name="clCalFrom5">'(Data)'!$F$31</definedName>
    <definedName name="clCalFrom5D">'Cal Info'!$C$34</definedName>
    <definedName name="clCalFrom5M">'Cal Info'!$B$34</definedName>
    <definedName name="clCalFrom6">'(Data)'!$F$33</definedName>
    <definedName name="clCalFrom6D">'Cal Info'!$C$36</definedName>
    <definedName name="clCalFrom6M">'Cal Info'!$B$36</definedName>
    <definedName name="clCalFrom7">'(Data)'!$F$35</definedName>
    <definedName name="clCalFrom7D">'Cal Info'!$C$38</definedName>
    <definedName name="clCalFrom7M">'Cal Info'!$B$38</definedName>
    <definedName name="clCalFrom8">'(Data)'!$F$37</definedName>
    <definedName name="clCalFrom8D">'Cal Info'!$C$40</definedName>
    <definedName name="clCalFrom8M">'Cal Info'!$B$40</definedName>
    <definedName name="clCalHol1">'(Data)'!$F$5</definedName>
    <definedName name="clCalHol10">'(Data)'!$F$14</definedName>
    <definedName name="clCalHol10D">'Cal Info'!$C$17</definedName>
    <definedName name="clCalHol10M">'Cal Info'!$B$17</definedName>
    <definedName name="clCalHol11">'(Data)'!$F$15</definedName>
    <definedName name="clCalHol11D">'Cal Info'!$C$18</definedName>
    <definedName name="clCalHol11M">'Cal Info'!$B$18</definedName>
    <definedName name="clCalHol12">'(Data)'!$F$16</definedName>
    <definedName name="clCalHol12D">'Cal Info'!$C$19</definedName>
    <definedName name="clCalHol12M">'Cal Info'!$B$19</definedName>
    <definedName name="clCalHol13">'(Data)'!$F$17</definedName>
    <definedName name="clCalHol13D">'Cal Info'!$C$20</definedName>
    <definedName name="clCalHol13M">'Cal Info'!$B$20</definedName>
    <definedName name="clCalHol14">'(Data)'!$F$18</definedName>
    <definedName name="clCalHol14D">'Cal Info'!$C$21</definedName>
    <definedName name="clCalHol14M">'Cal Info'!$B$21</definedName>
    <definedName name="clCalHol15">'(Data)'!$F$19</definedName>
    <definedName name="clCalHol15D">'Cal Info'!$C$22</definedName>
    <definedName name="clCalHol15M">'Cal Info'!$B$22</definedName>
    <definedName name="clCalHol16">'(Data)'!$F$20</definedName>
    <definedName name="clCalHol16D">'Cal Info'!$C$23</definedName>
    <definedName name="clCalHol16M">'Cal Info'!$B$23</definedName>
    <definedName name="clCalHol17">'(Data)'!$F$21</definedName>
    <definedName name="clCalHol17D">'Cal Info'!$C$24</definedName>
    <definedName name="clCalHol17M">'Cal Info'!$B$24</definedName>
    <definedName name="clCalHol18">'(Data)'!$F$22</definedName>
    <definedName name="clCalHol18D">'Cal Info'!$C$25</definedName>
    <definedName name="clCalHol18M">'Cal Info'!$B$25</definedName>
    <definedName name="clCalHol19">#REF!</definedName>
    <definedName name="clCalHol1D">'Cal Info'!$C$8</definedName>
    <definedName name="clCalHol1M">'Cal Info'!$B$8</definedName>
    <definedName name="clCalHol2">'(Data)'!$F$6</definedName>
    <definedName name="clCalHol20">#REF!</definedName>
    <definedName name="clCalHol2D">'Cal Info'!$C$9</definedName>
    <definedName name="clCalHol2M">'Cal Info'!$B$9</definedName>
    <definedName name="clCalHol3">'(Data)'!$F$7</definedName>
    <definedName name="clCalHol3D">'Cal Info'!$C$10</definedName>
    <definedName name="clCalHol3M">'Cal Info'!$B$10</definedName>
    <definedName name="clCalHol4">'(Data)'!$F$8</definedName>
    <definedName name="clCalHol4D">'Cal Info'!$C$11</definedName>
    <definedName name="clCalHol4M">'Cal Info'!$B$11</definedName>
    <definedName name="clCalHol5">'(Data)'!$F$9</definedName>
    <definedName name="clCalHol5D">'Cal Info'!$C$12</definedName>
    <definedName name="clCalHol5M">'Cal Info'!$B$12</definedName>
    <definedName name="clCalHol6">'(Data)'!$F$10</definedName>
    <definedName name="clCalHol6D">'Cal Info'!$C$13</definedName>
    <definedName name="clCalHol6M">'Cal Info'!$B$13</definedName>
    <definedName name="clCalHol7">'(Data)'!$F$11</definedName>
    <definedName name="clCalHol7D">'Cal Info'!$C$14</definedName>
    <definedName name="clCalHol7M">'Cal Info'!$B$14</definedName>
    <definedName name="clCalHol8">'(Data)'!$F$12</definedName>
    <definedName name="clCalHol8D">'Cal Info'!$C$15</definedName>
    <definedName name="clCalHol8M">'Cal Info'!$B$15</definedName>
    <definedName name="clCalHol9">'(Data)'!$F$13</definedName>
    <definedName name="clCalHol9D">'Cal Info'!$C$16</definedName>
    <definedName name="clCalHol9M">'Cal Info'!$B$16</definedName>
    <definedName name="clCalHours">'Cal Info'!$B$7</definedName>
    <definedName name="clCalLastDay">'(Data)'!$F$3</definedName>
    <definedName name="clCalLastDayD">'Cal Info'!$C$5</definedName>
    <definedName name="clCalLastDayM">'Cal Info'!$B$5</definedName>
    <definedName name="clCalNoWEnd">'Cal Info'!$B$6</definedName>
    <definedName name="clCalTo1">'(Data)'!$F$24</definedName>
    <definedName name="clCalTo1D">'Cal Info'!$C$27</definedName>
    <definedName name="clCalTo1M">'Cal Info'!$B$27</definedName>
    <definedName name="clCalTo2">'(Data)'!$F$26</definedName>
    <definedName name="clCalTo2D">'Cal Info'!$C$29</definedName>
    <definedName name="clCalTo2M">'Cal Info'!$B$29</definedName>
    <definedName name="clCalTo3">'(Data)'!$F$28</definedName>
    <definedName name="clCalTo3D">'Cal Info'!$C$31</definedName>
    <definedName name="clCalTo3M">'Cal Info'!$B$31</definedName>
    <definedName name="clCalTo4">'(Data)'!$F$30</definedName>
    <definedName name="clCalTo4D">'Cal Info'!$C$33</definedName>
    <definedName name="clCalTo4M">'Cal Info'!$B$33</definedName>
    <definedName name="clCalTo5">'(Data)'!$F$32</definedName>
    <definedName name="clCalTo5D">'Cal Info'!$C$35</definedName>
    <definedName name="clCalTo5M">'Cal Info'!$B$35</definedName>
    <definedName name="clCalTo6">'(Data)'!$F$34</definedName>
    <definedName name="clCalTo6D">'Cal Info'!$C$37</definedName>
    <definedName name="clCalTo6M">'Cal Info'!$B$37</definedName>
    <definedName name="clCalTo7">'(Data)'!$F$36</definedName>
    <definedName name="clCalTo7D">'Cal Info'!$C$39</definedName>
    <definedName name="clCalTo7M">'Cal Info'!$B$39</definedName>
    <definedName name="clCalTo8">'(Data)'!$F$38</definedName>
    <definedName name="clCalTo8D">'Cal Info'!$C$41</definedName>
    <definedName name="clCalTo8M">'Cal Info'!$B$41</definedName>
    <definedName name="clCats3A">'(Data)'!$J$101</definedName>
    <definedName name="clCats3B">'(Data)'!$M$101</definedName>
    <definedName name="clCats3C">'(Data)'!$P$101</definedName>
    <definedName name="clCats3D">'(Data)'!$S$101</definedName>
    <definedName name="clCats3E">'(Data)'!$V$101</definedName>
    <definedName name="clCats3F">'(Data)'!$Y$101</definedName>
    <definedName name="clCats3H">'(Data)'!$AB$101</definedName>
    <definedName name="clCats4A">'(Data)'!$AE$101</definedName>
    <definedName name="clCats4B">'(Data)'!$AH$101</definedName>
    <definedName name="clCats4C">'(Data)'!$AK$101</definedName>
    <definedName name="clCats4D">'(Data)'!$AN$101</definedName>
    <definedName name="clCats4E">'(Data)'!$AQ$101</definedName>
    <definedName name="clCats4F">'(Data)'!$AT$101</definedName>
    <definedName name="clCats4G">'(Data)'!$AW$101</definedName>
    <definedName name="clCats4H">'(Data)'!$AZ$101</definedName>
    <definedName name="clCats4I">'(Data)'!$BC$101</definedName>
    <definedName name="clCats4J">'(Data)'!$BF$101</definedName>
    <definedName name="clCats4K">'(Data)'!#REF!</definedName>
    <definedName name="clCats4L">'(Data)'!$BL$101</definedName>
    <definedName name="clCats4M">'(Data)'!$BO$101</definedName>
    <definedName name="clCats4N">'(Data)'!$BR$103</definedName>
    <definedName name="clCats4O">'(Data)'!$BU$101</definedName>
    <definedName name="clCity">'Form 1A'!$F$5</definedName>
    <definedName name="clDayFirst">'(Data)'!$G$42</definedName>
    <definedName name="clDayLast">'(Data)'!$G$43</definedName>
    <definedName name="clDayRateEd">'Form 1B'!$E$7</definedName>
    <definedName name="clDayRateESY">'Form 1B'!$E$9</definedName>
    <definedName name="clDayRateRes">'Form 1B'!$E$8</definedName>
    <definedName name="clEdDirEmail">'Form 1A'!$I$10</definedName>
    <definedName name="clExDirEmail">'Form 1A'!$I$8</definedName>
    <definedName name="clFederalTaxID">'Form 1A'!$B$14</definedName>
    <definedName name="clFinDirEmail">'Form 1A'!$I$11</definedName>
    <definedName name="clFiscalYear">'(Data)'!$G$41</definedName>
    <definedName name="clLegalAuthName">'Form 1A'!$B$3</definedName>
    <definedName name="clMAAmount">'Form 1B'!$H$38</definedName>
    <definedName name="clMonthsEd">'Ed Calendar'!$AB$5</definedName>
    <definedName name="clMonthsESY">'ESY Calendar'!$AB$5</definedName>
    <definedName name="clMonthsRes">'Res Calendar'!$AB$5</definedName>
    <definedName name="clPrevDirDepre">'Form 2A'!$C$20</definedName>
    <definedName name="clPrevDirDues">'Form 2A'!$C$19</definedName>
    <definedName name="clPrevDirFees">'Form 2A'!$C$9</definedName>
    <definedName name="clPrevDirFringe">'Form 2A'!$C$7</definedName>
    <definedName name="clPrevDirMeet">'Form 2A'!$C$18</definedName>
    <definedName name="clPrevDirMisc">'Form 2A'!#REF!</definedName>
    <definedName name="clPrevDirOcc">'Form 2A'!$C$13</definedName>
    <definedName name="clPrevDirPhone">'Form 2A'!$C$11</definedName>
    <definedName name="clPrevDirPost">'Form 2A'!$C$12</definedName>
    <definedName name="clPrevDirPrint">'Form 2A'!$C$15</definedName>
    <definedName name="clPrevDirPubs">'Form 2A'!$C$16</definedName>
    <definedName name="clPrevDirRent">'Form 2A'!$C$14</definedName>
    <definedName name="clPrevDirSal">'Form 2A'!$C$6</definedName>
    <definedName name="clPrevDirSupp">'Form 2A'!$C$10</definedName>
    <definedName name="clPrevDirTaxes">'Form 2A'!$C$8</definedName>
    <definedName name="clPrevDirTrans">'Form 2A'!$C$17</definedName>
    <definedName name="clPrevIndDepre">'Form 2B'!$C$20</definedName>
    <definedName name="clPrevIndDues">'Form 2B'!$C$19</definedName>
    <definedName name="clPrevIndFees">'Form 2B'!$C$9</definedName>
    <definedName name="clPrevIndFringe">'Form 2B'!$C$7</definedName>
    <definedName name="clPrevIndMeet">'Form 2B'!$C$18</definedName>
    <definedName name="clPrevIndMisc">'Form 2B'!#REF!</definedName>
    <definedName name="clPrevIndOcc">'Form 2B'!$C$13</definedName>
    <definedName name="clPrevIndPhone">'Form 2B'!$C$11</definedName>
    <definedName name="clPrevIndPost">'Form 2B'!$C$12</definedName>
    <definedName name="clPrevIndPrint">'Form 2B'!$C$15</definedName>
    <definedName name="clPrevIndPubs">'Form 2B'!$C$16</definedName>
    <definedName name="clPrevIndRent">'Form 2B'!$C$14</definedName>
    <definedName name="clPrevIndSal">'Form 2B'!$C$6</definedName>
    <definedName name="clPrevIndSupp">'Form 2B'!$C$10</definedName>
    <definedName name="clPrevIndTaxes">'Form 2B'!$C$8</definedName>
    <definedName name="clPrevIndTrans">'Form 2B'!$C$17</definedName>
    <definedName name="clProgramAddress">'Form 1A'!#REF!</definedName>
    <definedName name="clProgramName">'Form 1A'!$B$12</definedName>
    <definedName name="clProgramNum">'Form 1A'!$K$12</definedName>
    <definedName name="clRelAmtAudio">'Form 1B'!$D$11</definedName>
    <definedName name="clRelAmtBehav">'Form 1B'!$D$28</definedName>
    <definedName name="clRelAmtClassAide">'Form 1B'!$D$26</definedName>
    <definedName name="clRelAmtCounsel">'Form 1B'!$D$12</definedName>
    <definedName name="clRelAmtESD">'Form 1B'!$D$29</definedName>
    <definedName name="clRelAmtHealth">'Form 1B'!$D$22</definedName>
    <definedName name="clRelAmtMedical">'Form 1B'!$D$14</definedName>
    <definedName name="clRelAmtNonAide">'Form 1B'!$D$27</definedName>
    <definedName name="clRelAmtOrient">'Form 1B'!$D$16</definedName>
    <definedName name="clRelAmtOT">'Form 1B'!$D$15</definedName>
    <definedName name="clRelAmtOth1">'Form 1B'!$D$31</definedName>
    <definedName name="clRelAmtOth2">'Form 1B'!$D$32</definedName>
    <definedName name="clRelAmtOth3">'Form 1B'!$D$33</definedName>
    <definedName name="clRelAmtOth4">'Form 1B'!$D$34</definedName>
    <definedName name="clRelAmtOth5">'Form 1B'!$D$35</definedName>
    <definedName name="clRelAmtOth6">'Form 1B'!#REF!</definedName>
    <definedName name="clRelAmtParent">'Form 1B'!$D$17</definedName>
    <definedName name="clRelAmtPsych">'Form 1B'!$D$19</definedName>
    <definedName name="clRelAmtPT">'Form 1B'!$D$18</definedName>
    <definedName name="clRelAmtRecre">'Form 1B'!$D$20</definedName>
    <definedName name="clRelAmtRehab">'Form 1B'!$D$21</definedName>
    <definedName name="clRelAmtSocial">'Form 1B'!$D$23</definedName>
    <definedName name="clRelAmtSpeech">'Form 1B'!$D$24</definedName>
    <definedName name="clRelDayAudio">'Form 1B'!$E$11</definedName>
    <definedName name="clRelDayBehav">'Form 1B'!$E$28</definedName>
    <definedName name="clRelDayClassAide">'Form 1B'!$E$26</definedName>
    <definedName name="clRelDayCounsel">'Form 1B'!$E$12</definedName>
    <definedName name="clRelDayESD">'Form 1B'!$E$29</definedName>
    <definedName name="clRelDayHealth">'Form 1B'!$F$22</definedName>
    <definedName name="clRelDayMedical">'Form 1B'!$E$14</definedName>
    <definedName name="clRelDayNonAide">'Form 1B'!$E$27</definedName>
    <definedName name="clRelDayOrient">'Form 1B'!$E$16</definedName>
    <definedName name="clRelDayOT">'Form 1B'!$E$15</definedName>
    <definedName name="clRelDayOth1">'Form 1B'!$E$31</definedName>
    <definedName name="clRelDayOth2">'Form 1B'!$E$32</definedName>
    <definedName name="clRelDayOth3">'Form 1B'!$E$33</definedName>
    <definedName name="clRelDayOth4">'Form 1B'!$E$34</definedName>
    <definedName name="clRelDayOth5">'Form 1B'!$E$35</definedName>
    <definedName name="clRelDayOth6">'Form 1B'!#REF!</definedName>
    <definedName name="clRelDayParent">'Form 1B'!$E$17</definedName>
    <definedName name="clRelDayPsych">'Form 1B'!$E$19</definedName>
    <definedName name="clRelDayPT">'Form 1B'!$E$18</definedName>
    <definedName name="clRelDayRecre">'Form 1B'!$E$20</definedName>
    <definedName name="clRelDayRehab">'Form 1B'!$E$21</definedName>
    <definedName name="clRelDaySocial">'Form 1B'!$E$23</definedName>
    <definedName name="clRelDaySpeech">'Form 1B'!$E$24</definedName>
    <definedName name="clRelERAudio">'Form 1B'!$C$11</definedName>
    <definedName name="clRelERBehav">'Form 1B'!$C$28</definedName>
    <definedName name="clRelERClassAide">'Form 1B'!$C$26</definedName>
    <definedName name="clRelERCounsel">'Form 1B'!$C$12</definedName>
    <definedName name="clRelERESD">'Form 1B'!$C$29</definedName>
    <definedName name="clRelERHealth">'Form 1B'!$C$22</definedName>
    <definedName name="clRelERMedical">'Form 1B'!$C$14</definedName>
    <definedName name="clRelERNonAide">'Form 1B'!$C$27</definedName>
    <definedName name="clRelEROrient">'Form 1B'!$C$16</definedName>
    <definedName name="clRelEROT">'Form 1B'!$C$15</definedName>
    <definedName name="clRelEROth1">'Form 1B'!$C$31</definedName>
    <definedName name="clRelEROth2">'Form 1B'!$C$32</definedName>
    <definedName name="clRelEROth3">'Form 1B'!$C$33</definedName>
    <definedName name="clRelEROth4">'Form 1B'!$C$34</definedName>
    <definedName name="clRelEROth5">'Form 1B'!$C$35</definedName>
    <definedName name="clRelEROth6">'Form 1B'!#REF!</definedName>
    <definedName name="clRelERParent">'Form 1B'!$C$17</definedName>
    <definedName name="clRelERPsych">'Form 1B'!$C$19</definedName>
    <definedName name="clRelERPT">'Form 1B'!$C$18</definedName>
    <definedName name="clRelERRecre">'Form 1B'!$C$20</definedName>
    <definedName name="clRelERRehab">'Form 1B'!$C$21</definedName>
    <definedName name="clRelERSocial">'Form 1B'!$C$23</definedName>
    <definedName name="clRelERSpeech">'Form 1B'!$C$24</definedName>
    <definedName name="clRelFixAudio">'Form 1B'!$G$11</definedName>
    <definedName name="clRelFixBehav">'Form 1B'!$G$28</definedName>
    <definedName name="clRelFixClassAide">'Form 1B'!$G$26</definedName>
    <definedName name="clRelFixCounsel">'Form 1B'!$G$12</definedName>
    <definedName name="clRelFixESD">'Form 1B'!$G$29</definedName>
    <definedName name="clRelFixHealth">'Form 1B'!$G$22</definedName>
    <definedName name="clRelFixMedical">'Form 1B'!$G$14</definedName>
    <definedName name="clRelFixNonAide">'Form 1B'!$G$27</definedName>
    <definedName name="clRelFixOrient">'Form 1B'!$G$16</definedName>
    <definedName name="clRelFixOT">'Form 1B'!$G$15</definedName>
    <definedName name="clRelFixOth1">'Form 1B'!$G$31</definedName>
    <definedName name="clRelFixOth2">'Form 1B'!$G$32</definedName>
    <definedName name="clRelFixOth3">'Form 1B'!$G$33</definedName>
    <definedName name="clRelFixOth4">'Form 1B'!$G$34</definedName>
    <definedName name="clRelFixOth5">'Form 1B'!$G$35</definedName>
    <definedName name="clRelFixOth6">'Form 1B'!#REF!</definedName>
    <definedName name="clRelFixParent">'Form 1B'!$G$17</definedName>
    <definedName name="clRelFixPsych">'Form 1B'!$G$19</definedName>
    <definedName name="clRelFixPT">'Form 1B'!$G$18</definedName>
    <definedName name="clRelFixRecre">'Form 1B'!$G$20</definedName>
    <definedName name="clRelFixRehab">'Form 1B'!$G$21</definedName>
    <definedName name="clRelFixSocial">'Form 1B'!$G$23</definedName>
    <definedName name="clRelFixSpeech">'Form 1B'!$G$24</definedName>
    <definedName name="clRelHourAudio">'Form 1B'!$F$11</definedName>
    <definedName name="clRelHourBehav">'Form 1B'!$F$28</definedName>
    <definedName name="clRelHourClassAide">'Form 1B'!$F$26</definedName>
    <definedName name="clRelHourCounsel">'Form 1B'!$F$12</definedName>
    <definedName name="clRelHourESD">'Form 1B'!$F$29</definedName>
    <definedName name="clRelHourHealth">'Form 1B'!$E$22</definedName>
    <definedName name="clRelHourMedical">'Form 1B'!$F$14</definedName>
    <definedName name="clRelHourNonAide">'Form 1B'!$F$27</definedName>
    <definedName name="clRelHourOrient">'Form 1B'!$F$16</definedName>
    <definedName name="clRelHourOT">'Form 1B'!$F$15</definedName>
    <definedName name="clRelHourOth1">'Form 1B'!$F$30</definedName>
    <definedName name="clRelHourOth2">'Form 1B'!$F$31</definedName>
    <definedName name="clRelHourOth3">'Form 1B'!$F$32</definedName>
    <definedName name="clRelHourOth4">'Form 1B'!$F$33</definedName>
    <definedName name="clRelHourOth5">'Form 1B'!$F$34</definedName>
    <definedName name="clRelHourOth6">'Form 1B'!$F$35</definedName>
    <definedName name="clRelHourOth7">'Form 1B'!$F$36</definedName>
    <definedName name="clRelHourParent">'Form 1B'!$F$17</definedName>
    <definedName name="clRelHourPsych">'Form 1B'!$F$19</definedName>
    <definedName name="clRelHourPT">'Form 1B'!$F$18</definedName>
    <definedName name="clRelHourRecre">'Form 1B'!$F$20</definedName>
    <definedName name="clRelHourRehab">'Form 1B'!$F$21</definedName>
    <definedName name="clRelHourSocial">'Form 1B'!$F$23</definedName>
    <definedName name="clRelHourSpeech">'Form 1B'!$F$24</definedName>
    <definedName name="clRelLabelOth1">'Form 1B'!$B$31</definedName>
    <definedName name="clRelLabelOth2">'Form 1B'!$B$32</definedName>
    <definedName name="clRelLabelOth3">'Form 1B'!$B$33</definedName>
    <definedName name="clRelLabelOth4">'Form 1B'!$B$34</definedName>
    <definedName name="clRelLabelOth5">'Form 1B'!$B$35</definedName>
    <definedName name="clRelLabelOth6">'Form 1B'!#REF!</definedName>
    <definedName name="clResFundNA">'(Data)'!$F$50</definedName>
    <definedName name="clResFundNo">'(Data)'!$F$49</definedName>
    <definedName name="clResFundYes">'(Data)'!$F$48</definedName>
    <definedName name="clRevAmtOth1">'Form 1B'!$D$40</definedName>
    <definedName name="clRevAmtOth2">'Form 1B'!$D$41</definedName>
    <definedName name="clRevAmtOth3">'Form 1B'!$D$42</definedName>
    <definedName name="clRevAmtOth4">'Form 1B'!$D$43</definedName>
    <definedName name="clRevAmtOth5">'Form 1B'!$D$44</definedName>
    <definedName name="clRevAmtOth6">'Form 1B'!#REF!</definedName>
    <definedName name="clRevDayOth1">'Form 1B'!$E$40</definedName>
    <definedName name="clRevDayOth2">'Form 1B'!$E$41</definedName>
    <definedName name="clRevDayOth3">'Form 1B'!$E$42</definedName>
    <definedName name="clRevDayOth4">'Form 1B'!$E$43</definedName>
    <definedName name="clRevDayOth5">'Form 1B'!$E$44</definedName>
    <definedName name="clRevDayOth6">'Form 1B'!#REF!</definedName>
    <definedName name="clRevFixOth1">'Form 1B'!$G$40</definedName>
    <definedName name="clRevFixOth2">'Form 1B'!$G$41</definedName>
    <definedName name="clRevFixOth3">'Form 1B'!$G$42</definedName>
    <definedName name="clRevFixOth4">'Form 1B'!$G$43</definedName>
    <definedName name="clRevFixOth5">'Form 1B'!$G$44</definedName>
    <definedName name="clRevFixOth6">'Form 1B'!#REF!</definedName>
    <definedName name="clRevHourOth1">'Form 1B'!$F$40</definedName>
    <definedName name="clRevHourOth2">'Form 1B'!$F$41</definedName>
    <definedName name="clRevHourOth3">'Form 1B'!$F$42</definedName>
    <definedName name="clRevHourOth4">'Form 1B'!$F$43</definedName>
    <definedName name="clRevHourOth5">'Form 1B'!$F$44</definedName>
    <definedName name="clRevHourOth6">'Form 1B'!#REF!</definedName>
    <definedName name="clRevLabelOth1">'Form 1B'!$B$40</definedName>
    <definedName name="clRevLabelOth2">'Form 1B'!$B$41</definedName>
    <definedName name="clRevLabelOth3">'Form 1B'!$B$42</definedName>
    <definedName name="clRevLabelOth4">'Form 1B'!$B$43</definedName>
    <definedName name="clRevLabelOth5">'Form 1B'!$B$44</definedName>
    <definedName name="clRevLabelOth6">'Form 1B'!#REF!</definedName>
    <definedName name="clSchoolAddress">'Form 1A'!$B$5</definedName>
    <definedName name="clSchoolEducDir">'Form 1A'!$B$10</definedName>
    <definedName name="clSchoolEmail">'Form 1A'!$B$7</definedName>
    <definedName name="clSchoolExecDir">'Form 1A'!$B$8</definedName>
    <definedName name="clSchoolFax">'Form 1A'!$G$6</definedName>
    <definedName name="clSchoolFinDir">'Form 1A'!$B$11</definedName>
    <definedName name="clSchoolName">'Form 1A'!$B$4</definedName>
    <definedName name="clSchoolNumber">'Form 1A'!$H$3</definedName>
    <definedName name="clSchoolPhone">'Form 1A'!$B$6</definedName>
    <definedName name="clSchType">'Form 1A'!$G$13</definedName>
    <definedName name="clSnowOpt1">'(Data)'!$F$51</definedName>
    <definedName name="clSnowOpt2">'(Data)'!$F$52</definedName>
    <definedName name="clState">'Form 1A'!$I$5</definedName>
    <definedName name="clStuCountEd">'Form 1A'!$K$17</definedName>
    <definedName name="clStuCountESY">'Form 1A'!$K$19</definedName>
    <definedName name="clStuCountRes">'Form 1A'!$K$18</definedName>
    <definedName name="clTotalIndDollarVar">'Form 2B'!$E$21</definedName>
    <definedName name="clTotalIndFinalExp">'Form 2B'!$G$21</definedName>
    <definedName name="clTotalIndPercentVar">'Form 2B'!$F$21</definedName>
    <definedName name="clTotalIndPrev">'Form 2B'!$C$21</definedName>
    <definedName name="clTotalIndProp">'Form 2B'!$D$21</definedName>
    <definedName name="clTotDaysEd">'Form 1A'!$H$17</definedName>
    <definedName name="clTotDaysESD">'Form 1A'!#REF!</definedName>
    <definedName name="clTotDaysESY">'Form 1A'!$H$19</definedName>
    <definedName name="clTotDaysRes">'Form 1A'!$H$18</definedName>
    <definedName name="clTotDirDeprec">'Form 4N'!$C$20</definedName>
    <definedName name="clTotDirDues">'Form 4M'!$C$20</definedName>
    <definedName name="clTotDirFees">'Form 4C'!$C$20</definedName>
    <definedName name="clTotDirFringe">'Form 4A'!$C$20</definedName>
    <definedName name="clTotDirMaint">'Form 4H'!$C$20</definedName>
    <definedName name="clTotDirMeetings">'Form 4L'!$C$20</definedName>
    <definedName name="clTotDirMisc">#REF!</definedName>
    <definedName name="clTotDirOccup">'Form 4G'!$C$20</definedName>
    <definedName name="clTotDirPhone">'Form 4E'!$C$20</definedName>
    <definedName name="clTotDirPostage">'Form 4F'!$C$20</definedName>
    <definedName name="clTotDirPrint">'Form 4I'!$C$20</definedName>
    <definedName name="clTotDirPubs">'Form 4J'!$C$20</definedName>
    <definedName name="clTotDirSalAdmin">'Form 3'!$D$20</definedName>
    <definedName name="clTotDirSalary">'Form 3E'!$C$11</definedName>
    <definedName name="clTotDirSalClass">'Form 3B'!$D$20</definedName>
    <definedName name="clTotDirSalResid" localSheetId="11">'Form 3F'!#REF!</definedName>
    <definedName name="clTotDirSalResid">#REF!</definedName>
    <definedName name="clTotDirSalSchool">'Form 3A'!$D$20</definedName>
    <definedName name="clTotDirSalService">'Form 3C'!$D$20</definedName>
    <definedName name="clTotDirSalSupport">'Form 3D'!$D$20</definedName>
    <definedName name="clTotDirSupplies">'Form 4D'!$C$20</definedName>
    <definedName name="clTotDirTaxes">'Form 4B'!$C$20</definedName>
    <definedName name="clTotDirTrans">'Form 4K'!$C$20</definedName>
    <definedName name="clTotIndDeprec">'Form 4N'!$D$20</definedName>
    <definedName name="clTotIndDues">'Form 4M'!$D$20</definedName>
    <definedName name="clTotIndFees">'Form 4C'!$D$20</definedName>
    <definedName name="clTotIndFringe">'Form 4A'!$D$20</definedName>
    <definedName name="clTotIndMaint">'Form 4H'!$D$20</definedName>
    <definedName name="clTotIndMeetings">'Form 4L'!$D$20</definedName>
    <definedName name="clTotIndMisc">#REF!</definedName>
    <definedName name="clTotIndOccup">'Form 4G'!$D$20</definedName>
    <definedName name="clTotIndPhone">'Form 4E'!$D$20</definedName>
    <definedName name="clTotIndPostage">'Form 4F'!$D$20</definedName>
    <definedName name="clTotIndPrint">'Form 4I'!$D$20</definedName>
    <definedName name="clTotIndPubs">'Form 4J'!$D$20</definedName>
    <definedName name="clTotIndSalAdmin">'Form 3'!#REF!</definedName>
    <definedName name="clTotIndSalaries">'Form 3F'!$D$20</definedName>
    <definedName name="clTotIndSalary">'Form 3E'!#REF!</definedName>
    <definedName name="clTotIndSalClass">'Form 3B'!#REF!</definedName>
    <definedName name="clTotIndSalResid" localSheetId="11">'Form 3F'!$D$20</definedName>
    <definedName name="clTotIndSalResid">#REF!</definedName>
    <definedName name="clTotIndSalSchool">'Form 3A'!#REF!</definedName>
    <definedName name="clTotIndSalService">'Form 3C'!#REF!</definedName>
    <definedName name="clTotIndSalSupport">'Form 3D'!#REF!</definedName>
    <definedName name="clTotIndSupplies">'Form 4D'!$D$20</definedName>
    <definedName name="clTotIndTaxes">'Form 4B'!$D$20</definedName>
    <definedName name="clTotIndTrans">'Form 4K'!$D$20</definedName>
    <definedName name="clWBTitle">'Form 1A'!$A$1</definedName>
    <definedName name="clZipCode">'Form 1A'!$K$5</definedName>
    <definedName name="Code13">'Cost Sheet'!$X$51</definedName>
    <definedName name="Code20">'Cost Sheet'!$X$38</definedName>
    <definedName name="Code21">'Cost Sheet'!$X$46</definedName>
    <definedName name="Code22">'Cost Sheet'!$X$42</definedName>
    <definedName name="Code23">'Cost Sheet'!$X$45</definedName>
    <definedName name="Code24">'Cost Sheet'!$X$47</definedName>
    <definedName name="Code26">'Cost Sheet'!$X$39</definedName>
    <definedName name="Code27">'Cost Sheet'!$X$41</definedName>
    <definedName name="Code28">'Cost Sheet'!$X$49</definedName>
    <definedName name="Code29">'Cost Sheet'!$X$50</definedName>
    <definedName name="Code30">'Cost Sheet'!$X$44</definedName>
    <definedName name="Code34">'Cost Sheet'!$X$48</definedName>
    <definedName name="Code35">'Cost Sheet'!$X$43</definedName>
    <definedName name="Code36">'Cost Sheet'!$X$40</definedName>
    <definedName name="Code41">'Cost Sheet'!$X$52</definedName>
    <definedName name="Code42">'Cost Sheet'!$X$53</definedName>
    <definedName name="Code43">'Cost Sheet'!$X$54</definedName>
    <definedName name="Code45">'Cost Sheet'!$X$55</definedName>
    <definedName name="DayResid">'Cost Sheet'!$E$19</definedName>
    <definedName name="EdDir">'Info Changes and Vacancy   '!$B$10</definedName>
    <definedName name="EdNum">'Form 1A'!$F$10</definedName>
    <definedName name="EdPerDiem">'Cost Sheet'!$H$28</definedName>
    <definedName name="EducationDays">'Cost Sheet'!$H$20</definedName>
    <definedName name="Email">'Info Changes and Vacancy   '!$I$9</definedName>
    <definedName name="EndingDate">'Cost Sheet'!$T$19</definedName>
    <definedName name="ESYDays">'Cost Sheet'!$P$20</definedName>
    <definedName name="ESYPerDiem">'Cost Sheet'!$H$34</definedName>
    <definedName name="ExDir">'Info Changes and Vacancy   '!$B$8</definedName>
    <definedName name="ExecNum">'Form 1A'!$F$9</definedName>
    <definedName name="FinDir">'Info Changes and Vacancy   '!$B$11</definedName>
    <definedName name="FinNum">'Form 1A'!$F$11</definedName>
    <definedName name="FullDayHalfDay">'Form 1A'!$B$13</definedName>
    <definedName name="MAParticipation">'Cost Sheet'!$K$21</definedName>
    <definedName name="Other1">'Cost Sheet'!$X$56</definedName>
    <definedName name="Other2">'Cost Sheet'!$X$57</definedName>
    <definedName name="Other3">'Cost Sheet'!$X$58</definedName>
    <definedName name="Other4">'Cost Sheet'!$X$59</definedName>
    <definedName name="Other5">'Cost Sheet'!$X$60</definedName>
    <definedName name="Other6">'Cost Sheet'!$X$61</definedName>
    <definedName name="Other7">'Cost Sheet'!$X$62</definedName>
    <definedName name="_xlnm.Print_Area" localSheetId="33">'(Data)'!$A$1:$C$6</definedName>
    <definedName name="_xlnm.Print_Area" localSheetId="29">'Cal Info'!$A$1:$K$41</definedName>
    <definedName name="_xlnm.Print_Area" localSheetId="28">'Cost Sheet'!$A$1:$AD$159</definedName>
    <definedName name="_xlnm.Print_Area" localSheetId="1">'Form 1A'!$A$1:$L$45</definedName>
    <definedName name="_xlnm.Print_Area" localSheetId="2">'Form 1B'!$A$1:$H$45</definedName>
    <definedName name="_xlnm.Print_Area" localSheetId="3">'Form 2A'!$A$1:$G$24</definedName>
    <definedName name="_xlnm.Print_Area" localSheetId="4">'Form 2B'!$A$1:$G$21</definedName>
    <definedName name="_xlnm.Print_Area" localSheetId="5">'Form 3'!$A$1:$E$20</definedName>
    <definedName name="_xlnm.Print_Area" localSheetId="6">'Form 3A'!$A$1:$F$20</definedName>
    <definedName name="_xlnm.Print_Area" localSheetId="7">'Form 3B'!$A$1:$F$20</definedName>
    <definedName name="_xlnm.Print_Area" localSheetId="8">'Form 3C'!$A$1:$F$20</definedName>
    <definedName name="_xlnm.Print_Area" localSheetId="9">'Form 3D'!$A$1:$F$20</definedName>
    <definedName name="_xlnm.Print_Area" localSheetId="10">'Form 3E'!$A$1:$D$13</definedName>
    <definedName name="_xlnm.Print_Area" localSheetId="11">'Form 3F'!$A$1:$F$20</definedName>
    <definedName name="_xlnm.Print_Area" localSheetId="12">'Form 4A'!$A$1:$E$20</definedName>
    <definedName name="_xlnm.Print_Area" localSheetId="13">'Form 4B'!$A$1:$E$20</definedName>
    <definedName name="_xlnm.Print_Area" localSheetId="14">'Form 4C'!$A$1:$E$20</definedName>
    <definedName name="_xlnm.Print_Area" localSheetId="15">'Form 4D'!$A$1:$E$20</definedName>
    <definedName name="_xlnm.Print_Area" localSheetId="16">'Form 4E'!$A$1:$E$20</definedName>
    <definedName name="_xlnm.Print_Area" localSheetId="17">'Form 4F'!$A$1:$E$20</definedName>
    <definedName name="_xlnm.Print_Area" localSheetId="18">'Form 4G'!$A$1:$E$20</definedName>
    <definedName name="_xlnm.Print_Area" localSheetId="19">'Form 4H'!$A$1:$E$20</definedName>
    <definedName name="_xlnm.Print_Area" localSheetId="20">'Form 4I'!$A$1:$E$20</definedName>
    <definedName name="_xlnm.Print_Area" localSheetId="21">'Form 4J'!$A$1:$E$20</definedName>
    <definedName name="_xlnm.Print_Area" localSheetId="22">'Form 4K'!$A$1:$E$20</definedName>
    <definedName name="_xlnm.Print_Area" localSheetId="23">'Form 4L'!$A$1:$E$20</definedName>
    <definedName name="_xlnm.Print_Area" localSheetId="24">'Form 4M'!$A$1:$E$20</definedName>
    <definedName name="_xlnm.Print_Area" localSheetId="25">'Form 4N'!$A$1:$E$20</definedName>
    <definedName name="_xlnm.Print_Area" localSheetId="26">'Form 5A'!$A$1:$H$29</definedName>
    <definedName name="_xlnm.Print_Area" localSheetId="27">'Form 5B'!$A$1:$J$36</definedName>
    <definedName name="_xlnm.Print_Area" localSheetId="0">'Info Changes and Vacancy   '!$A$1:$K$48</definedName>
    <definedName name="ProgrNum">'Form 1A'!$I$12</definedName>
    <definedName name="RelatedService20">'Form 1B'!$B$11</definedName>
    <definedName name="ResidentialDays">'Cost Sheet'!$K$20</definedName>
    <definedName name="ResidPerDiem">'Cost Sheet'!$H$31</definedName>
    <definedName name="rgCalCol1" localSheetId="32">'ESY Calendar'!$A$10:$G$14,'ESY Calendar'!$A$17:$G$21,'ESY Calendar'!$A$24:$G$28</definedName>
    <definedName name="rgCalCol1" localSheetId="31">'Res Calendar'!$A$10:$G$14,'Res Calendar'!$A$17:$G$21,'Res Calendar'!$A$24:$G$28</definedName>
    <definedName name="rgCalCol1">'Ed Calendar'!$A$10:$G$14,'Ed Calendar'!$A$17:$G$21,'Ed Calendar'!$A$24:$G$28</definedName>
    <definedName name="rgCats3A">'(Data)'!$J$101:$J$110</definedName>
    <definedName name="rgCats3B">'(Data)'!$M$101:$M$113</definedName>
    <definedName name="rgCats3C">'(Data)'!$P$101:$P$110</definedName>
    <definedName name="rgCats3D">'(Data)'!$S$101:$S$114</definedName>
    <definedName name="rgCats3E">'(Data)'!$V$101:$V$111</definedName>
    <definedName name="rgCats3F">'(Data)'!$Y$101:$Y$106</definedName>
    <definedName name="rgCats3H">'(Data)'!$AB$101:$AB$105</definedName>
    <definedName name="rgCats4A">'(Data)'!$AE$101:$AE$109</definedName>
    <definedName name="rgCats4B">'(Data)'!$AH$101:$AH$105</definedName>
    <definedName name="rgCats4C">'(Data)'!$AK$101:$AK$111</definedName>
    <definedName name="rgCats4D">'(Data)'!$AN$101:$AN$108</definedName>
    <definedName name="rgCats4E">'(Data)'!$AQ$101:$AQ$104</definedName>
    <definedName name="rgCats4F">'(Data)'!$AT$101:$AT$103</definedName>
    <definedName name="rgCats4G">'(Data)'!$AW$101:$AW$110</definedName>
    <definedName name="rgCats4H">'(Data)'!$AZ$101:$AZ$104</definedName>
    <definedName name="rgCats4I">'(Data)'!$BC$101:$BC$104</definedName>
    <definedName name="rgCats4J">'(Data)'!$BF$101:$BF$104</definedName>
    <definedName name="rgCats4K">'(Data)'!$BI$102:$BI$106</definedName>
    <definedName name="rgCats4L">'(Data)'!$BL$101:$BL$104</definedName>
    <definedName name="rgCats4M">'(Data)'!$BO$101:$BO$104</definedName>
    <definedName name="rgCats4N">'(Data)'!$BR$102:$BR$105</definedName>
    <definedName name="rgCats4O">'(Data)'!$BU$101:$BU$102</definedName>
    <definedName name="rgDayCrit">'(Data)'!$N$65:$N$66</definedName>
    <definedName name="rgDays">'(Data)'!$L$65:$L$95</definedName>
    <definedName name="rgEdRes">'(Data)'!$O$65:$O$66</definedName>
    <definedName name="rgFullHalf">'(Data)'!$Q$65:$Q$66</definedName>
    <definedName name="rgMonths">'(Data)'!$K$65:$K$76</definedName>
    <definedName name="rgPerpCal">'(Data)'!$S$38:$AE$63</definedName>
    <definedName name="rgPerpMons">'(Data)'!$AG$38:$AH$65</definedName>
    <definedName name="rgUnits">'(Data)'!$P$65:$P$66</definedName>
    <definedName name="rgYesNo">'(Data)'!$M$65:$M$66</definedName>
    <definedName name="SchoolAddress">'Info Changes and Vacancy   '!$B$5</definedName>
    <definedName name="SchoolID">'Cost Sheet'!$D$16</definedName>
    <definedName name="SchoolName">'Info Changes and Vacancy   '!$B$4</definedName>
    <definedName name="WebAddress">'Form 1A'!$G$7</definedName>
  </definedNames>
  <calcPr fullCalcOnLoad="1"/>
</workbook>
</file>

<file path=xl/sharedStrings.xml><?xml version="1.0" encoding="utf-8"?>
<sst xmlns="http://schemas.openxmlformats.org/spreadsheetml/2006/main" count="1418" uniqueCount="835">
  <si>
    <t>Indirect Costs</t>
  </si>
  <si>
    <t xml:space="preserve">Expenditure Categories                   </t>
  </si>
  <si>
    <t>$ Variance</t>
  </si>
  <si>
    <t>% Variance</t>
  </si>
  <si>
    <t>Subtotal Direct Costs</t>
  </si>
  <si>
    <t>Total Costs</t>
  </si>
  <si>
    <t>Demographic Information</t>
  </si>
  <si>
    <t>Phone</t>
  </si>
  <si>
    <t>Date</t>
  </si>
  <si>
    <t>Education Program</t>
  </si>
  <si>
    <t>Residential Program</t>
  </si>
  <si>
    <t>Extended School Year</t>
  </si>
  <si>
    <t>Revenues</t>
  </si>
  <si>
    <t>Daily Cost</t>
  </si>
  <si>
    <t>Related Services</t>
  </si>
  <si>
    <t>FTE</t>
  </si>
  <si>
    <t>Salary Schedule for Direct Classroom Positions</t>
  </si>
  <si>
    <t>Salary Schedule for General Support Positions</t>
  </si>
  <si>
    <t>Explanation</t>
  </si>
  <si>
    <t>Direct Costs</t>
  </si>
  <si>
    <t>I.</t>
  </si>
  <si>
    <t>II.</t>
  </si>
  <si>
    <t>III.</t>
  </si>
  <si>
    <t xml:space="preserve"> A.  Education and Basic Related Services (E)                         </t>
  </si>
  <si>
    <t>Q1</t>
  </si>
  <si>
    <t xml:space="preserve"> </t>
  </si>
  <si>
    <t>)</t>
  </si>
  <si>
    <t>(A) $</t>
  </si>
  <si>
    <t xml:space="preserve"> B.  Residential Services (R)</t>
  </si>
  <si>
    <t xml:space="preserve">     </t>
  </si>
  <si>
    <t>(B) $</t>
  </si>
  <si>
    <t xml:space="preserve">      </t>
  </si>
  <si>
    <t>(C) $</t>
  </si>
  <si>
    <t>Medical services</t>
  </si>
  <si>
    <t>Occupational therapy</t>
  </si>
  <si>
    <t>Orientation and mobility services</t>
  </si>
  <si>
    <t>Parent counseling and training</t>
  </si>
  <si>
    <t>Physical therapy</t>
  </si>
  <si>
    <t>Psychological services</t>
  </si>
  <si>
    <t>Recreation</t>
  </si>
  <si>
    <t>Rehabilitation counseling</t>
  </si>
  <si>
    <t>School health services</t>
  </si>
  <si>
    <t>Social work services</t>
  </si>
  <si>
    <t>Speech-language pathology</t>
  </si>
  <si>
    <t xml:space="preserve">     First Quarter - July - Sept.</t>
  </si>
  <si>
    <t xml:space="preserve">    Second Quarter - Oct. - Dec.</t>
  </si>
  <si>
    <t xml:space="preserve">    Third Quarter - Jan. - March</t>
  </si>
  <si>
    <t xml:space="preserve">    Fourth Quarter - April - June</t>
  </si>
  <si>
    <t>July</t>
  </si>
  <si>
    <t>October</t>
  </si>
  <si>
    <t>January</t>
  </si>
  <si>
    <t>April</t>
  </si>
  <si>
    <t>S</t>
  </si>
  <si>
    <t>M</t>
  </si>
  <si>
    <t>T</t>
  </si>
  <si>
    <t>W</t>
  </si>
  <si>
    <t>F</t>
  </si>
  <si>
    <t>August</t>
  </si>
  <si>
    <t>November</t>
  </si>
  <si>
    <t>February</t>
  </si>
  <si>
    <t>May</t>
  </si>
  <si>
    <t>September</t>
  </si>
  <si>
    <t>December</t>
  </si>
  <si>
    <t>March</t>
  </si>
  <si>
    <t>June</t>
  </si>
  <si>
    <t>Program Name</t>
  </si>
  <si>
    <t>(First)</t>
  </si>
  <si>
    <t>D.O.B.</t>
  </si>
  <si>
    <t>Does facility participate in Maryland's Medical Assistance Program?</t>
  </si>
  <si>
    <t>Yes</t>
  </si>
  <si>
    <t>No</t>
  </si>
  <si>
    <t>Medical Assistance Eligible</t>
  </si>
  <si>
    <t>Medical Assistance # (If approved)</t>
  </si>
  <si>
    <t>Program #</t>
  </si>
  <si>
    <t>Director of Education</t>
  </si>
  <si>
    <t>Phone Number</t>
  </si>
  <si>
    <t>Beginning Date</t>
  </si>
  <si>
    <t>Education</t>
  </si>
  <si>
    <t>Residential</t>
  </si>
  <si>
    <t xml:space="preserve">The following services are requested in order for the above-named child to achieve the goals and objectives specified on the Individualized </t>
  </si>
  <si>
    <t>Education Program.</t>
  </si>
  <si>
    <t>ANNUAL SERVICE</t>
  </si>
  <si>
    <t>(Days</t>
  </si>
  <si>
    <t>CODE</t>
  </si>
  <si>
    <t>COST</t>
  </si>
  <si>
    <t>SIGNED:</t>
  </si>
  <si>
    <t>School Name</t>
  </si>
  <si>
    <t>Education Days</t>
  </si>
  <si>
    <t>Extended Day</t>
  </si>
  <si>
    <t xml:space="preserve"> C.  Extended School Year</t>
  </si>
  <si>
    <t>Intensive Behavior Modification</t>
  </si>
  <si>
    <t>Other1</t>
  </si>
  <si>
    <t>Other2</t>
  </si>
  <si>
    <t>Other3</t>
  </si>
  <si>
    <t>SUBTOTAL (Services listed in D only)</t>
  </si>
  <si>
    <t>TOTAL PROGRAM COST (A through D)</t>
  </si>
  <si>
    <t>Other4</t>
  </si>
  <si>
    <t>Direct Classroom</t>
  </si>
  <si>
    <t>General Support</t>
  </si>
  <si>
    <t>Form 1A</t>
  </si>
  <si>
    <t>Form 3A</t>
  </si>
  <si>
    <t>Salary Costs</t>
  </si>
  <si>
    <t>Form 3B</t>
  </si>
  <si>
    <t>Form 3C</t>
  </si>
  <si>
    <t>Total -- Direct Classroom</t>
  </si>
  <si>
    <t>Form 3D</t>
  </si>
  <si>
    <t>Total -- Related Services</t>
  </si>
  <si>
    <t>Form 3E</t>
  </si>
  <si>
    <t>Total -- General Support</t>
  </si>
  <si>
    <t>Form 3F</t>
  </si>
  <si>
    <t>Form 4A</t>
  </si>
  <si>
    <t>Item</t>
  </si>
  <si>
    <r>
      <t>Supporting Schedule for</t>
    </r>
    <r>
      <rPr>
        <b/>
        <sz val="12"/>
        <rFont val="Times"/>
        <family val="0"/>
      </rPr>
      <t xml:space="preserve"> Payroll Taxes</t>
    </r>
  </si>
  <si>
    <t>Form 4B</t>
  </si>
  <si>
    <t>Total -- Payroll Taxes</t>
  </si>
  <si>
    <t>Form 4C</t>
  </si>
  <si>
    <t>Form 4D</t>
  </si>
  <si>
    <r>
      <t>Supporting Schedule for</t>
    </r>
    <r>
      <rPr>
        <b/>
        <sz val="12"/>
        <rFont val="Times"/>
        <family val="0"/>
      </rPr>
      <t xml:space="preserve"> Supplies and Non-Capital Equipment</t>
    </r>
  </si>
  <si>
    <t>Total -- Supplies and Equipment</t>
  </si>
  <si>
    <t>Form 4E</t>
  </si>
  <si>
    <r>
      <t>Supporting Schedule for</t>
    </r>
    <r>
      <rPr>
        <b/>
        <sz val="12"/>
        <rFont val="Times"/>
        <family val="0"/>
      </rPr>
      <t xml:space="preserve"> Phone/Fax/Internet</t>
    </r>
  </si>
  <si>
    <t>Total -- Phone/Fax/Internet</t>
  </si>
  <si>
    <r>
      <t>Supporting Schedule for</t>
    </r>
    <r>
      <rPr>
        <b/>
        <sz val="12"/>
        <rFont val="Times"/>
        <family val="0"/>
      </rPr>
      <t xml:space="preserve"> Postage</t>
    </r>
  </si>
  <si>
    <t>Form 4F</t>
  </si>
  <si>
    <t>Total -- Postage</t>
  </si>
  <si>
    <t>Form 4G</t>
  </si>
  <si>
    <t>Total -- Occupancy</t>
  </si>
  <si>
    <t>Form 4H</t>
  </si>
  <si>
    <t>Form 4I</t>
  </si>
  <si>
    <t>Form 4J</t>
  </si>
  <si>
    <r>
      <t>Supporting Schedule for</t>
    </r>
    <r>
      <rPr>
        <b/>
        <sz val="12"/>
        <rFont val="Times"/>
        <family val="0"/>
      </rPr>
      <t xml:space="preserve"> Transportation</t>
    </r>
  </si>
  <si>
    <t>Total -- Transportation</t>
  </si>
  <si>
    <t>Form 4K</t>
  </si>
  <si>
    <t>Form 4L</t>
  </si>
  <si>
    <t>Form 4M</t>
  </si>
  <si>
    <r>
      <t>Supporting Schedule for</t>
    </r>
    <r>
      <rPr>
        <b/>
        <sz val="12"/>
        <rFont val="Times"/>
        <family val="0"/>
      </rPr>
      <t xml:space="preserve"> Depreciation</t>
    </r>
  </si>
  <si>
    <t>Total -- Depreciation</t>
  </si>
  <si>
    <t>Form 4N</t>
  </si>
  <si>
    <t>Form 2A</t>
  </si>
  <si>
    <t>a.</t>
  </si>
  <si>
    <t>b.</t>
  </si>
  <si>
    <t>c.</t>
  </si>
  <si>
    <t>d.</t>
  </si>
  <si>
    <t>e.</t>
  </si>
  <si>
    <t>Fringe Benefits</t>
  </si>
  <si>
    <t>Payroll Taxes</t>
  </si>
  <si>
    <t>Professional Fees</t>
  </si>
  <si>
    <t>Supplies and Non-capital Equipment</t>
  </si>
  <si>
    <t>Phone/Fax/Internet</t>
  </si>
  <si>
    <t xml:space="preserve">Postage   </t>
  </si>
  <si>
    <t>Occupancy</t>
  </si>
  <si>
    <t>Transportation</t>
  </si>
  <si>
    <t>Dues</t>
  </si>
  <si>
    <t>Depreciation</t>
  </si>
  <si>
    <t>Indirect Costs (from Form 2B)</t>
  </si>
  <si>
    <t>Fixed Cost</t>
  </si>
  <si>
    <t>Total Income</t>
  </si>
  <si>
    <t>Counseling services</t>
  </si>
  <si>
    <t>One-to-one (Classroom aide)</t>
  </si>
  <si>
    <t>One-to-one (Non-classroom aide)</t>
  </si>
  <si>
    <t>Intensive behavior modification</t>
  </si>
  <si>
    <t>Form 1B</t>
  </si>
  <si>
    <t>Total
Days</t>
  </si>
  <si>
    <t>1st Qtr Days</t>
  </si>
  <si>
    <t>2nd Qtr Days</t>
  </si>
  <si>
    <t>3rd Qtr Days</t>
  </si>
  <si>
    <t>4th Qtr Days</t>
  </si>
  <si>
    <t>School Calendar Billable Days/Student Count</t>
  </si>
  <si>
    <t>Service</t>
  </si>
  <si>
    <t>Student %</t>
  </si>
  <si>
    <t xml:space="preserve">        3) Summarize instructional/non-instructional benefits to students.</t>
  </si>
  <si>
    <t xml:space="preserve">        2) How frequently does the provider visit the classroom?</t>
  </si>
  <si>
    <t xml:space="preserve">        1) How frequently does the provider assist the teacher?</t>
  </si>
  <si>
    <r>
      <t xml:space="preserve">     If </t>
    </r>
    <r>
      <rPr>
        <b/>
        <sz val="10"/>
        <rFont val="Arial"/>
        <family val="2"/>
      </rPr>
      <t>90% or more</t>
    </r>
    <r>
      <rPr>
        <sz val="10"/>
        <rFont val="Arial"/>
        <family val="2"/>
      </rPr>
      <t>, no further explanation is required.</t>
    </r>
  </si>
  <si>
    <t>School Address</t>
  </si>
  <si>
    <t>Email</t>
  </si>
  <si>
    <t>(First day)</t>
  </si>
  <si>
    <t>(Last day)</t>
  </si>
  <si>
    <t>Form 6</t>
  </si>
  <si>
    <t>Other5</t>
  </si>
  <si>
    <t>Months</t>
  </si>
  <si>
    <t>Days</t>
  </si>
  <si>
    <t>Last day</t>
  </si>
  <si>
    <t>First day</t>
  </si>
  <si>
    <t>X1</t>
  </si>
  <si>
    <t>Q6</t>
  </si>
  <si>
    <t>Q11</t>
  </si>
  <si>
    <t>Q21</t>
  </si>
  <si>
    <t>Q26</t>
  </si>
  <si>
    <t>Q31</t>
  </si>
  <si>
    <t>Q16</t>
  </si>
  <si>
    <t>X6</t>
  </si>
  <si>
    <t>X11</t>
  </si>
  <si>
    <t>X16</t>
  </si>
  <si>
    <t>X21</t>
  </si>
  <si>
    <t>X26</t>
  </si>
  <si>
    <t>X31</t>
  </si>
  <si>
    <t>AE1</t>
  </si>
  <si>
    <t>AE6</t>
  </si>
  <si>
    <t>AE11</t>
  </si>
  <si>
    <t>AE16</t>
  </si>
  <si>
    <t>AE21</t>
  </si>
  <si>
    <t>AE26</t>
  </si>
  <si>
    <t>AE31</t>
  </si>
  <si>
    <t>AL1</t>
  </si>
  <si>
    <t>AL6</t>
  </si>
  <si>
    <t>AL11</t>
  </si>
  <si>
    <t>AL16</t>
  </si>
  <si>
    <t>AL21</t>
  </si>
  <si>
    <t>AL26</t>
  </si>
  <si>
    <t>AL31</t>
  </si>
  <si>
    <t>1 - 7 -- 31 days</t>
  </si>
  <si>
    <t>8 - 14 -- 30 days</t>
  </si>
  <si>
    <t>15 - 21 -- 28 days</t>
  </si>
  <si>
    <t>22 - 28 -- 29 days</t>
  </si>
  <si>
    <t>Pos</t>
  </si>
  <si>
    <t>Off weekends?</t>
  </si>
  <si>
    <t>No school from #1</t>
  </si>
  <si>
    <t>No school from #2</t>
  </si>
  <si>
    <t>No school from #3</t>
  </si>
  <si>
    <t>No school from #4</t>
  </si>
  <si>
    <t>No school from #5</t>
  </si>
  <si>
    <t>No school from #6</t>
  </si>
  <si>
    <t>No school from #7</t>
  </si>
  <si>
    <t>No school from #8</t>
  </si>
  <si>
    <t>Codes:</t>
  </si>
  <si>
    <t>Days for 2nd quarter:</t>
  </si>
  <si>
    <t>Days for 1st quarter:</t>
  </si>
  <si>
    <t>Days for 3rd quarter:</t>
  </si>
  <si>
    <t>Days for 4th quarter:</t>
  </si>
  <si>
    <t xml:space="preserve"> &lt; &gt;  First &amp; last days</t>
  </si>
  <si>
    <t xml:space="preserve"> { }   Weekend</t>
  </si>
  <si>
    <t>to #1</t>
  </si>
  <si>
    <t>to #3</t>
  </si>
  <si>
    <t>to #4</t>
  </si>
  <si>
    <t>to #5</t>
  </si>
  <si>
    <t>to #6</t>
  </si>
  <si>
    <t>to #7</t>
  </si>
  <si>
    <t>to #8</t>
  </si>
  <si>
    <t>DO NOT MODIFY!</t>
  </si>
  <si>
    <t>* * *</t>
  </si>
  <si>
    <t>Validation information</t>
  </si>
  <si>
    <t>Date values (from Form 6A)</t>
  </si>
  <si>
    <t>to #2</t>
  </si>
  <si>
    <t>Calendars are numbered down, then across:</t>
  </si>
  <si>
    <t>ESY</t>
  </si>
  <si>
    <t>Extended School Day (ESD)</t>
  </si>
  <si>
    <t>Publications</t>
  </si>
  <si>
    <r>
      <t>Supporting Schedule for</t>
    </r>
    <r>
      <rPr>
        <b/>
        <sz val="12"/>
        <rFont val="Times"/>
        <family val="0"/>
      </rPr>
      <t xml:space="preserve"> Publications</t>
    </r>
  </si>
  <si>
    <t>Total -- Publications</t>
  </si>
  <si>
    <t>Dates and Settings</t>
  </si>
  <si>
    <t>Beginning Date(s)</t>
  </si>
  <si>
    <t>Ending Date(s)</t>
  </si>
  <si>
    <t xml:space="preserve">   .     School not in session</t>
  </si>
  <si>
    <t>Fscl Year</t>
  </si>
  <si>
    <t>Form 2B</t>
  </si>
  <si>
    <t>version:</t>
  </si>
  <si>
    <t>release:</t>
  </si>
  <si>
    <t>Residential Days</t>
  </si>
  <si>
    <t>ESY Days</t>
  </si>
  <si>
    <t># of Units of Service</t>
  </si>
  <si>
    <t>Unit of Service</t>
  </si>
  <si>
    <t>No school #1</t>
  </si>
  <si>
    <t>No school #2</t>
  </si>
  <si>
    <t>No school #3</t>
  </si>
  <si>
    <t>No school #4</t>
  </si>
  <si>
    <t>No school #5</t>
  </si>
  <si>
    <t xml:space="preserve">  x     No school (i.e. students not in attendance)</t>
  </si>
  <si>
    <t>No school #6</t>
  </si>
  <si>
    <t>No school #7</t>
  </si>
  <si>
    <t>No school #8</t>
  </si>
  <si>
    <t>No school #9</t>
  </si>
  <si>
    <t>No school #10</t>
  </si>
  <si>
    <t>No school #11</t>
  </si>
  <si>
    <t>No school #12</t>
  </si>
  <si>
    <t>No school #13</t>
  </si>
  <si>
    <t>No school #14</t>
  </si>
  <si>
    <t>No school #15</t>
  </si>
  <si>
    <t>No school #16</t>
  </si>
  <si>
    <t>No school #17</t>
  </si>
  <si>
    <t>No school #18</t>
  </si>
  <si>
    <t>A.</t>
  </si>
  <si>
    <t>B.</t>
  </si>
  <si>
    <t>C.</t>
  </si>
  <si>
    <t>D.</t>
  </si>
  <si>
    <t>E.</t>
  </si>
  <si>
    <t>F.</t>
  </si>
  <si>
    <t>G.</t>
  </si>
  <si>
    <t>H.</t>
  </si>
  <si>
    <t>J.</t>
  </si>
  <si>
    <t>K.</t>
  </si>
  <si>
    <t>L.</t>
  </si>
  <si>
    <t>M.</t>
  </si>
  <si>
    <t>N.</t>
  </si>
  <si>
    <t xml:space="preserve"> D.  Related Services/ Other IEP Services</t>
  </si>
  <si>
    <t xml:space="preserve"> Education/ Residential</t>
  </si>
  <si>
    <t>3A</t>
  </si>
  <si>
    <t>(Valid category lists)</t>
  </si>
  <si>
    <t>3B</t>
  </si>
  <si>
    <t>3C</t>
  </si>
  <si>
    <t>3D</t>
  </si>
  <si>
    <t>3E</t>
  </si>
  <si>
    <t>4A</t>
  </si>
  <si>
    <t>4B</t>
  </si>
  <si>
    <t>4C</t>
  </si>
  <si>
    <t>4D</t>
  </si>
  <si>
    <t>4E</t>
  </si>
  <si>
    <t>4F</t>
  </si>
  <si>
    <t>4G</t>
  </si>
  <si>
    <t>4H</t>
  </si>
  <si>
    <t>4I</t>
  </si>
  <si>
    <t>4J</t>
  </si>
  <si>
    <t>4K</t>
  </si>
  <si>
    <t>4L</t>
  </si>
  <si>
    <t>4M</t>
  </si>
  <si>
    <t>4N</t>
  </si>
  <si>
    <t xml:space="preserve">001 002 001 </t>
  </si>
  <si>
    <t xml:space="preserve">001 003 001 </t>
  </si>
  <si>
    <t xml:space="preserve">001 004 001 </t>
  </si>
  <si>
    <t>Maintenance</t>
  </si>
  <si>
    <t xml:space="preserve">001 005 001 </t>
  </si>
  <si>
    <t>Child Care Staff</t>
  </si>
  <si>
    <t xml:space="preserve">001 006 001 </t>
  </si>
  <si>
    <t xml:space="preserve">001 050 001 </t>
  </si>
  <si>
    <t xml:space="preserve">002 001 000 </t>
  </si>
  <si>
    <t>FICA</t>
  </si>
  <si>
    <t xml:space="preserve">003 001 000 </t>
  </si>
  <si>
    <t>Occupational Therapy</t>
  </si>
  <si>
    <t xml:space="preserve">004 001 000 </t>
  </si>
  <si>
    <t xml:space="preserve">005 001 000 </t>
  </si>
  <si>
    <t>Phone/Fax Service</t>
  </si>
  <si>
    <t xml:space="preserve">006 001 000 </t>
  </si>
  <si>
    <t xml:space="preserve">007 001 000 </t>
  </si>
  <si>
    <t>Utilities</t>
  </si>
  <si>
    <t xml:space="preserve">009 001 000 </t>
  </si>
  <si>
    <t xml:space="preserve">010 001 000 </t>
  </si>
  <si>
    <t xml:space="preserve">011 001 000 </t>
  </si>
  <si>
    <t xml:space="preserve">013 001 000 </t>
  </si>
  <si>
    <t xml:space="preserve">014 001 000 </t>
  </si>
  <si>
    <t xml:space="preserve">015 001 000 </t>
  </si>
  <si>
    <t xml:space="preserve">001 003 002 </t>
  </si>
  <si>
    <t xml:space="preserve">001 004 002 </t>
  </si>
  <si>
    <t xml:space="preserve">001 005 002 </t>
  </si>
  <si>
    <t xml:space="preserve">002 005 000 </t>
  </si>
  <si>
    <t xml:space="preserve">003 002 000 </t>
  </si>
  <si>
    <t>Physical Therapy</t>
  </si>
  <si>
    <t xml:space="preserve">004 002 000 </t>
  </si>
  <si>
    <t xml:space="preserve">005 002 000 </t>
  </si>
  <si>
    <t>Internet Service</t>
  </si>
  <si>
    <t xml:space="preserve">006 002 000 </t>
  </si>
  <si>
    <t xml:space="preserve">007 002 000 </t>
  </si>
  <si>
    <t>Facility Rental</t>
  </si>
  <si>
    <t xml:space="preserve">008 002 000 </t>
  </si>
  <si>
    <t>Computer Equipment</t>
  </si>
  <si>
    <t xml:space="preserve">009 002 000 </t>
  </si>
  <si>
    <t>Photography/Artwork</t>
  </si>
  <si>
    <t xml:space="preserve">010 002 000 </t>
  </si>
  <si>
    <t xml:space="preserve">011 002 000 </t>
  </si>
  <si>
    <t xml:space="preserve">013 002 000 </t>
  </si>
  <si>
    <t>Licenses</t>
  </si>
  <si>
    <t xml:space="preserve">014 002 000 </t>
  </si>
  <si>
    <t xml:space="preserve">001 003 003 </t>
  </si>
  <si>
    <t>Residential Supervisor</t>
  </si>
  <si>
    <t>Retirement</t>
  </si>
  <si>
    <t xml:space="preserve">002 002 000 </t>
  </si>
  <si>
    <t xml:space="preserve">003 005 000 </t>
  </si>
  <si>
    <t xml:space="preserve">004 003 000 </t>
  </si>
  <si>
    <t xml:space="preserve">005 003 000 </t>
  </si>
  <si>
    <t xml:space="preserve">006 003 000 </t>
  </si>
  <si>
    <t xml:space="preserve">008 003 000 </t>
  </si>
  <si>
    <t>Classroom Equipment</t>
  </si>
  <si>
    <t xml:space="preserve">009 003 000 </t>
  </si>
  <si>
    <t xml:space="preserve">011 003 000 </t>
  </si>
  <si>
    <t xml:space="preserve">013 003 000 </t>
  </si>
  <si>
    <t xml:space="preserve">014 003 000 </t>
  </si>
  <si>
    <t xml:space="preserve">001 003 004 </t>
  </si>
  <si>
    <t>Workers Compensation</t>
  </si>
  <si>
    <t xml:space="preserve">003 003 000 </t>
  </si>
  <si>
    <t>Psychological Therapy</t>
  </si>
  <si>
    <t xml:space="preserve">004 004 000 </t>
  </si>
  <si>
    <t xml:space="preserve">005 004 000 </t>
  </si>
  <si>
    <t xml:space="preserve">007 004 000 </t>
  </si>
  <si>
    <t xml:space="preserve">008 004 000 </t>
  </si>
  <si>
    <t xml:space="preserve">009 004 000 </t>
  </si>
  <si>
    <t xml:space="preserve">010 004 000 </t>
  </si>
  <si>
    <t xml:space="preserve">013 004 000 </t>
  </si>
  <si>
    <t xml:space="preserve">014 004 000 </t>
  </si>
  <si>
    <t xml:space="preserve">015 004 000 </t>
  </si>
  <si>
    <t xml:space="preserve">001 003 005 </t>
  </si>
  <si>
    <t>Unemployment Insurance</t>
  </si>
  <si>
    <t>Psychiatric and Medical</t>
  </si>
  <si>
    <t xml:space="preserve">004 005 000 </t>
  </si>
  <si>
    <t>Property Taxes</t>
  </si>
  <si>
    <t xml:space="preserve">008 005 000 </t>
  </si>
  <si>
    <t xml:space="preserve">011 005 000 </t>
  </si>
  <si>
    <t xml:space="preserve">012 005 000 </t>
  </si>
  <si>
    <t xml:space="preserve">001 002 006 </t>
  </si>
  <si>
    <t>Tuition Assistance</t>
  </si>
  <si>
    <t xml:space="preserve">002 008 000 </t>
  </si>
  <si>
    <t xml:space="preserve">004 006 000 </t>
  </si>
  <si>
    <t xml:space="preserve">008 009 000 </t>
  </si>
  <si>
    <t xml:space="preserve">012 006 000 </t>
  </si>
  <si>
    <t>Disability (STD/LTD)</t>
  </si>
  <si>
    <t xml:space="preserve">002 009 000 </t>
  </si>
  <si>
    <t xml:space="preserve">004 007 000 </t>
  </si>
  <si>
    <t xml:space="preserve">008 006 000 </t>
  </si>
  <si>
    <t xml:space="preserve">002 003 000 </t>
  </si>
  <si>
    <t xml:space="preserve">008 007 000 </t>
  </si>
  <si>
    <t xml:space="preserve">004 009 000 </t>
  </si>
  <si>
    <t xml:space="preserve">008 008 000 </t>
  </si>
  <si>
    <t xml:space="preserve">001 004 010 </t>
  </si>
  <si>
    <t>Annual Program Cost Sheet</t>
  </si>
  <si>
    <t>Student's Name (Last)</t>
  </si>
  <si>
    <t>Hours in day?</t>
  </si>
  <si>
    <t>Calendar Information</t>
  </si>
  <si>
    <t>Education Months</t>
  </si>
  <si>
    <t>ESY Months</t>
  </si>
  <si>
    <t>Residential Months</t>
  </si>
  <si>
    <t>Hours in Day</t>
  </si>
  <si>
    <t>per diem $</t>
  </si>
  <si>
    <t>E</t>
  </si>
  <si>
    <t>R</t>
  </si>
  <si>
    <t>H</t>
  </si>
  <si>
    <t>E/R</t>
  </si>
  <si>
    <t>(Refer to Program Cost Sheet Instructions.)</t>
  </si>
  <si>
    <t>001 003 010</t>
  </si>
  <si>
    <t>Entry Date this Current FY</t>
  </si>
  <si>
    <t>Total Number of Days in Program</t>
  </si>
  <si>
    <t>IV.  I hereby certify that the above services as outlined in Part III are necessary and reasonable for the basic care, treatment and/or education of the above named child, and that said services will be provided at the costs indicated in Part III.  I further certify that the costs contained in Part III are based on the current State of Maryland negotiated rate and/or the current Medicaid rate for the indicated services for the above named facility.  I also agree that the above named facility will not recover more than the TOTAL PROGRAM COST or the applicable portion thereof as set forth for the above named child, unless a modified Program Cost Sheet has been submitted and approved by the Maryland State Department of Education.</t>
  </si>
  <si>
    <t>Gender</t>
  </si>
  <si>
    <t>Federal Census Disability Code</t>
  </si>
  <si>
    <t>DIRECT COSTS</t>
  </si>
  <si>
    <t>INDIRECT COSTS</t>
  </si>
  <si>
    <t>Category</t>
  </si>
  <si>
    <t xml:space="preserve">Requested </t>
  </si>
  <si>
    <t>Amendments</t>
  </si>
  <si>
    <t>Salaries:</t>
  </si>
  <si>
    <t xml:space="preserve">    Administrative/Executive</t>
  </si>
  <si>
    <t xml:space="preserve">    School Administrative</t>
  </si>
  <si>
    <t xml:space="preserve">    Direct Classroom</t>
  </si>
  <si>
    <t xml:space="preserve">    Related Services</t>
  </si>
  <si>
    <t xml:space="preserve">    General Support</t>
  </si>
  <si>
    <t>Supplies and Non-Capital Equipment</t>
  </si>
  <si>
    <t>Postage</t>
  </si>
  <si>
    <t>Rental/Maintenance of Equipment</t>
  </si>
  <si>
    <t>Total</t>
  </si>
  <si>
    <t>Grade</t>
  </si>
  <si>
    <t>Difference</t>
  </si>
  <si>
    <t>Percentage</t>
  </si>
  <si>
    <t xml:space="preserve">Difference </t>
  </si>
  <si>
    <t>Expenditures</t>
  </si>
  <si>
    <t>Variance</t>
  </si>
  <si>
    <t>Expenditure/Revenue Analysis</t>
  </si>
  <si>
    <r>
      <t>INDIRECT COSTS</t>
    </r>
    <r>
      <rPr>
        <sz val="11"/>
        <rFont val="Arial"/>
        <family val="2"/>
      </rPr>
      <t xml:space="preserve"> (as appropriate)</t>
    </r>
  </si>
  <si>
    <t>School Web Address</t>
  </si>
  <si>
    <r>
      <t xml:space="preserve">     If </t>
    </r>
    <r>
      <rPr>
        <b/>
        <sz val="10"/>
        <rFont val="Arial"/>
        <family val="2"/>
      </rPr>
      <t>80% to 90%</t>
    </r>
    <r>
      <rPr>
        <sz val="10"/>
        <rFont val="Arial"/>
        <family val="2"/>
      </rPr>
      <t>, answer the following 3 questions in the box below:</t>
    </r>
  </si>
  <si>
    <t>Interpreting services</t>
  </si>
  <si>
    <t>Other 6</t>
  </si>
  <si>
    <t>Other7</t>
  </si>
  <si>
    <t>Fringe Benefits/ Insurance</t>
  </si>
  <si>
    <t xml:space="preserve">Purchase/Rental/Maintenance of Equipment </t>
  </si>
  <si>
    <t>Educational Experiences</t>
  </si>
  <si>
    <t>Dues/Licenses</t>
  </si>
  <si>
    <t>Fringe Benefits/Insurance</t>
  </si>
  <si>
    <t>Public Relations</t>
  </si>
  <si>
    <r>
      <t>Supporting Schedule for</t>
    </r>
    <r>
      <rPr>
        <b/>
        <sz val="12"/>
        <rFont val="Times"/>
        <family val="0"/>
      </rPr>
      <t xml:space="preserve"> Fringe Benefits/Insurance</t>
    </r>
  </si>
  <si>
    <t>Total -- Fringe Benefits/Insurance</t>
  </si>
  <si>
    <t>Total --Related Services/Professional Fees</t>
  </si>
  <si>
    <r>
      <t>Supporting Schedule for</t>
    </r>
    <r>
      <rPr>
        <b/>
        <sz val="12"/>
        <rFont val="Times"/>
        <family val="0"/>
      </rPr>
      <t xml:space="preserve"> Public Relations</t>
    </r>
  </si>
  <si>
    <t>Total -- Public Relations</t>
  </si>
  <si>
    <r>
      <t>Supporting Schedule for</t>
    </r>
    <r>
      <rPr>
        <b/>
        <sz val="12"/>
        <rFont val="Times"/>
        <family val="0"/>
      </rPr>
      <t xml:space="preserve"> Educational Experiences</t>
    </r>
  </si>
  <si>
    <t>Total -- Educational Experiences</t>
  </si>
  <si>
    <r>
      <t>Supporting Schedule for</t>
    </r>
    <r>
      <rPr>
        <b/>
        <sz val="12"/>
        <rFont val="Times"/>
        <family val="0"/>
      </rPr>
      <t xml:space="preserve"> Dues/Licenses</t>
    </r>
  </si>
  <si>
    <t>Total -- Dues/Licenses</t>
  </si>
  <si>
    <t>001 002 004</t>
  </si>
  <si>
    <t>001 004 008</t>
  </si>
  <si>
    <t>001 005 004</t>
  </si>
  <si>
    <t>Postage Meter</t>
  </si>
  <si>
    <t>Security System</t>
  </si>
  <si>
    <t>Permits</t>
  </si>
  <si>
    <t>Vehicle Insurance</t>
  </si>
  <si>
    <t>Student Related</t>
  </si>
  <si>
    <t>Clerical Support</t>
  </si>
  <si>
    <t xml:space="preserve">Clerical Support </t>
  </si>
  <si>
    <t>Substitute Teacher</t>
  </si>
  <si>
    <t>Art Therapist</t>
  </si>
  <si>
    <t>Audiologist</t>
  </si>
  <si>
    <t>Music Therapist</t>
  </si>
  <si>
    <t>Physical Therapist</t>
  </si>
  <si>
    <t>Speech/Language Pathologist</t>
  </si>
  <si>
    <t>Behavioral Specialist</t>
  </si>
  <si>
    <t>Part I:</t>
  </si>
  <si>
    <t>4 ‑ White</t>
  </si>
  <si>
    <t>Part III:</t>
  </si>
  <si>
    <t xml:space="preserve">Part IV: </t>
  </si>
  <si>
    <t>03 - Deafness</t>
  </si>
  <si>
    <t>14 - Autism</t>
  </si>
  <si>
    <t>15 - Developmental Delay</t>
  </si>
  <si>
    <t>Part II.</t>
  </si>
  <si>
    <t>Vehicle Maintenance/Gas/Oil</t>
  </si>
  <si>
    <t>001 002 002</t>
  </si>
  <si>
    <t>001 002 003</t>
  </si>
  <si>
    <t>001 004 007</t>
  </si>
  <si>
    <t>001 005 005</t>
  </si>
  <si>
    <t>Dental</t>
  </si>
  <si>
    <t>Health</t>
  </si>
  <si>
    <t>Liability</t>
  </si>
  <si>
    <t>Life</t>
  </si>
  <si>
    <t>002 008 000</t>
  </si>
  <si>
    <t>Vision</t>
  </si>
  <si>
    <t>Speech/language Pathology</t>
  </si>
  <si>
    <t>Facility Repair</t>
  </si>
  <si>
    <t>008 006 000</t>
  </si>
  <si>
    <t>010 002 000</t>
  </si>
  <si>
    <t xml:space="preserve">Major Equipment </t>
  </si>
  <si>
    <t>Vehicle</t>
  </si>
  <si>
    <t>Related Services - 80% Explanation</t>
  </si>
  <si>
    <t>Date Approved</t>
  </si>
  <si>
    <t>Discharge Date</t>
  </si>
  <si>
    <t>Service Revision</t>
  </si>
  <si>
    <t>Day/Residential</t>
  </si>
  <si>
    <t xml:space="preserve">ASSURANCE </t>
  </si>
  <si>
    <t>1-0</t>
  </si>
  <si>
    <t>A-A</t>
  </si>
  <si>
    <t>2-0</t>
  </si>
  <si>
    <t>3-0</t>
  </si>
  <si>
    <t>4-0</t>
  </si>
  <si>
    <t>5-0</t>
  </si>
  <si>
    <t>A</t>
  </si>
  <si>
    <t>B</t>
  </si>
  <si>
    <t>OPI</t>
  </si>
  <si>
    <t xml:space="preserve">      Race: </t>
  </si>
  <si>
    <t>Choose</t>
  </si>
  <si>
    <t>Maryland State Department of Education</t>
  </si>
  <si>
    <t>01 - Intellectual Disability</t>
  </si>
  <si>
    <t>Ethnicity - Hispanic/Latino</t>
  </si>
  <si>
    <t>Jurisdiction/Agency</t>
  </si>
  <si>
    <t>Dues/Licences</t>
  </si>
  <si>
    <t>2.10b</t>
  </si>
  <si>
    <t>(Middle)</t>
  </si>
  <si>
    <t xml:space="preserve">   Ending Date</t>
  </si>
  <si>
    <t xml:space="preserve">ANNUAL PROGRAM COST SHEET MUST BE MAILED TO THE JURISDICTION/AGENCY WITHIN 5 SCHOOL DAYS OF </t>
  </si>
  <si>
    <t>ENTRY DATE THIS CURRENT FY, DISCHARGE DATE, or SERVICE REVISION DATE</t>
  </si>
  <si>
    <r>
      <t xml:space="preserve">Faxed documents are not accepted at MSDE.  </t>
    </r>
    <r>
      <rPr>
        <b/>
        <sz val="10"/>
        <color indexed="10"/>
        <rFont val="Arial"/>
        <family val="2"/>
      </rPr>
      <t>Color</t>
    </r>
    <r>
      <rPr>
        <b/>
        <sz val="10"/>
        <rFont val="Arial"/>
        <family val="2"/>
      </rPr>
      <t xml:space="preserve"> is used to indicate drop down </t>
    </r>
    <r>
      <rPr>
        <b/>
        <sz val="10"/>
        <color indexed="10"/>
        <rFont val="Arial"/>
        <family val="2"/>
      </rPr>
      <t>menus</t>
    </r>
    <r>
      <rPr>
        <b/>
        <sz val="10"/>
        <rFont val="Arial"/>
        <family val="2"/>
      </rPr>
      <t xml:space="preserve">. Documents do not need to be provided in color.   </t>
    </r>
  </si>
  <si>
    <t xml:space="preserve">92 equals pre-school, ages 3 through 5; 91 equals kindergarten; 01 through 12 equals grade 1 through 12.                                                                                                                                                                            Number of years the student has been enrolled in school after Kindergarten (including the current year) adjusted by subtracting the number if times he/she was not promoted and/or adding the number of times he/she was accelerated.                                                                                                   Grade must be alligned with LSS grade notation. </t>
  </si>
  <si>
    <t>Race -</t>
  </si>
  <si>
    <t xml:space="preserve">AI/AN </t>
  </si>
  <si>
    <t>(0,1) - American Indian or Alaskan Native</t>
  </si>
  <si>
    <t>NW/OPI (0,4) - Native Hawaiian or Other Pacific Islander</t>
  </si>
  <si>
    <t xml:space="preserve">Asian   </t>
  </si>
  <si>
    <t>(0,2) - Asian</t>
  </si>
  <si>
    <t>White      (0,5) - White</t>
  </si>
  <si>
    <t xml:space="preserve">B/AA  </t>
  </si>
  <si>
    <t>(0,3) - Black or African American</t>
  </si>
  <si>
    <t>06 - Emotional Disability</t>
  </si>
  <si>
    <t>12 - Deaf-Blindness</t>
  </si>
  <si>
    <t>02 - Hearing Impairment</t>
  </si>
  <si>
    <t>07 - Orthopedic Impairment</t>
  </si>
  <si>
    <t>13 - Traumatic Brian Injury</t>
  </si>
  <si>
    <t>08 - Other Health Impairment</t>
  </si>
  <si>
    <t>04 - Speech or Language Impairment</t>
  </si>
  <si>
    <t>09 - Specific Learning Disability</t>
  </si>
  <si>
    <t>05 - Visual Impairment</t>
  </si>
  <si>
    <t>10 - Multiple Disabilities</t>
  </si>
  <si>
    <t>The source of this information is Form 1A of the budget packet.</t>
  </si>
  <si>
    <t>MSDE must be notified in writing of any changes occuring during the fiscal year.  Revisions will be made by MSDE as appropriate.</t>
  </si>
  <si>
    <t>In the case of revisions,  the revised MSDE cost sheet must be provided to appropriate jurisdictions/agencies for each child as soon as possible.</t>
  </si>
  <si>
    <t>Director of Education signs and dates the Annual Program Cost Sheet</t>
  </si>
  <si>
    <t>Director of Finance signs and dates the Annual Program Cost Sheet</t>
  </si>
  <si>
    <t xml:space="preserve">DEFINITIONS and EXPLANATIONS  </t>
  </si>
  <si>
    <t xml:space="preserve">AW -  Autism Waiver </t>
  </si>
  <si>
    <t>DJS - Department of Juvenile Justice</t>
  </si>
  <si>
    <t>MA - Medical Assistance</t>
  </si>
  <si>
    <t>CSA - Core Service Agency</t>
  </si>
  <si>
    <t>DSS - Department of Social Services</t>
  </si>
  <si>
    <t>PP - Parent Placement</t>
  </si>
  <si>
    <t>DDA - Developmental Disabilites Association</t>
  </si>
  <si>
    <t>LSS - Local School System</t>
  </si>
  <si>
    <t>PI - Private Insurance</t>
  </si>
  <si>
    <t>DHMH - Department of Health &amp; Mental Hygiene</t>
  </si>
  <si>
    <t>MSDE - Maryland State Department of Education</t>
  </si>
  <si>
    <t>MSDE approved rates are entered and locked in the "Rate per Unit of Service" column.</t>
  </si>
  <si>
    <t>The "Education/Residential" column identifies service related to (E)ducation or (R)esidential.</t>
  </si>
  <si>
    <t>"Unit of Service" is recorded as (H)ourly or (F)ixed.</t>
  </si>
  <si>
    <t>In the "# of Units of Service" column, record the number of additional hours of service to be provided to the student.</t>
  </si>
  <si>
    <t>If a student's IEP requires a service without an approved rate, contact the Nonpublic Special Education Section, MSDE. (410 767-0264)</t>
  </si>
  <si>
    <t xml:space="preserve">Annual Progam Cost Sheet is designed in Microsoft Excel. Calculations for "ANNUAL SERVICE", "COST", "SUBTOTAL" and "TOTAL PROGRAM COST" are included. </t>
  </si>
  <si>
    <t>Race:</t>
  </si>
  <si>
    <t>Billiable Unit of Service</t>
  </si>
  <si>
    <t>Rate per unit                of Service</t>
  </si>
  <si>
    <r>
      <t xml:space="preserve">Student's Name - </t>
    </r>
    <r>
      <rPr>
        <sz val="10"/>
        <rFont val="Times New Roman"/>
        <family val="1"/>
      </rPr>
      <t>Proivde student's last name, first name and middle name.</t>
    </r>
  </si>
  <si>
    <r>
      <rPr>
        <b/>
        <sz val="10"/>
        <rFont val="Times New Roman"/>
        <family val="1"/>
      </rPr>
      <t>Jurisdiction/Agency</t>
    </r>
    <r>
      <rPr>
        <sz val="10"/>
        <rFont val="Times New Roman"/>
        <family val="1"/>
      </rPr>
      <t xml:space="preserve"> - Use the drop down menu to identify the fiscally responsible jurisdiction or agency. Agencies are listed last.</t>
    </r>
  </si>
  <si>
    <r>
      <rPr>
        <b/>
        <sz val="10"/>
        <rFont val="Times New Roman"/>
        <family val="1"/>
      </rPr>
      <t>D.O.B.</t>
    </r>
    <r>
      <rPr>
        <sz val="10"/>
        <rFont val="Times New Roman"/>
        <family val="1"/>
      </rPr>
      <t xml:space="preserve"> (Date of Birth) -  Provide month, day, and year.</t>
    </r>
  </si>
  <si>
    <r>
      <rPr>
        <b/>
        <sz val="10"/>
        <rFont val="Times New Roman"/>
        <family val="1"/>
      </rPr>
      <t xml:space="preserve">Gender </t>
    </r>
    <r>
      <rPr>
        <sz val="10"/>
        <rFont val="Times New Roman"/>
        <family val="1"/>
      </rPr>
      <t>-  Use the drop down menu to indicate Male or Female.</t>
    </r>
  </si>
  <si>
    <r>
      <rPr>
        <b/>
        <sz val="10"/>
        <rFont val="Times New Roman"/>
        <family val="1"/>
      </rPr>
      <t xml:space="preserve">Grade </t>
    </r>
    <r>
      <rPr>
        <sz val="10"/>
        <rFont val="Times New Roman"/>
        <family val="1"/>
      </rPr>
      <t xml:space="preserve">-    Use the drop down menu to indicate the grade for the current school year.  Grade must be alligned with LSS grade notation. </t>
    </r>
  </si>
  <si>
    <r>
      <rPr>
        <b/>
        <sz val="10"/>
        <rFont val="Times New Roman"/>
        <family val="1"/>
      </rPr>
      <t>Ethnicity - Hispanic/Latino</t>
    </r>
    <r>
      <rPr>
        <sz val="10"/>
        <rFont val="Times New Roman"/>
        <family val="1"/>
      </rPr>
      <t xml:space="preserve"> - Use the drop down menu to indicate Yes or No.</t>
    </r>
  </si>
  <si>
    <r>
      <t xml:space="preserve">Use the drop down menus. </t>
    </r>
    <r>
      <rPr>
        <u val="single"/>
        <sz val="10"/>
        <rFont val="Times New Roman"/>
        <family val="1"/>
      </rPr>
      <t>E</t>
    </r>
    <r>
      <rPr>
        <u val="single"/>
        <sz val="10"/>
        <color indexed="8"/>
        <rFont val="Times New Roman"/>
        <family val="1"/>
      </rPr>
      <t>ach</t>
    </r>
    <r>
      <rPr>
        <u val="single"/>
        <sz val="10"/>
        <rFont val="Times New Roman"/>
        <family val="1"/>
      </rPr>
      <t xml:space="preserve"> category must be completed.</t>
    </r>
    <r>
      <rPr>
        <sz val="10"/>
        <rFont val="Times New Roman"/>
        <family val="1"/>
      </rPr>
      <t xml:space="preserve"> "0" indicates the race is not selected."1,2,3,4,5" indicates the race is selected.  More than one race may be selected for a student. Race selection must be consistent with LSS records.</t>
    </r>
  </si>
  <si>
    <r>
      <rPr>
        <b/>
        <sz val="10"/>
        <rFont val="Times New Roman"/>
        <family val="1"/>
      </rPr>
      <t xml:space="preserve">Federal Census Disability Codes </t>
    </r>
    <r>
      <rPr>
        <sz val="10"/>
        <rFont val="Times New Roman"/>
        <family val="1"/>
      </rPr>
      <t xml:space="preserve">- Use the drop down menu to indicate the disability code consistent with the current IEP.  </t>
    </r>
  </si>
  <si>
    <r>
      <rPr>
        <b/>
        <sz val="10"/>
        <rFont val="Times New Roman"/>
        <family val="1"/>
      </rPr>
      <t xml:space="preserve">Medical Assistance Eligible </t>
    </r>
    <r>
      <rPr>
        <sz val="10"/>
        <rFont val="Times New Roman"/>
        <family val="1"/>
      </rPr>
      <t>- Use the drop down menu to indicate Yes, No or Pending.</t>
    </r>
  </si>
  <si>
    <r>
      <rPr>
        <b/>
        <sz val="10"/>
        <rFont val="Times New Roman"/>
        <family val="1"/>
      </rPr>
      <t>Medical Assistance Number</t>
    </r>
    <r>
      <rPr>
        <sz val="10"/>
        <rFont val="Times New Roman"/>
        <family val="1"/>
      </rPr>
      <t xml:space="preserve"> - If student is eligible, provide current MA number.</t>
    </r>
  </si>
  <si>
    <r>
      <rPr>
        <b/>
        <sz val="10"/>
        <rFont val="Times New Roman"/>
        <family val="1"/>
      </rPr>
      <t>Entry Date this Current FY</t>
    </r>
    <r>
      <rPr>
        <sz val="10"/>
        <rFont val="Times New Roman"/>
        <family val="1"/>
      </rPr>
      <t xml:space="preserve"> - Record date student began program (month, day, year). Align billable "Days" in part III with this date.  </t>
    </r>
  </si>
  <si>
    <r>
      <rPr>
        <b/>
        <sz val="10"/>
        <rFont val="Times New Roman"/>
        <family val="1"/>
      </rPr>
      <t xml:space="preserve">Discharge Date </t>
    </r>
    <r>
      <rPr>
        <sz val="10"/>
        <rFont val="Times New Roman"/>
        <family val="1"/>
      </rPr>
      <t>- Record date student was discharged from the program (month, day, year). Adjust billable "Days" in part III as appropriate.</t>
    </r>
  </si>
  <si>
    <r>
      <rPr>
        <b/>
        <sz val="10"/>
        <rFont val="Times New Roman"/>
        <family val="1"/>
      </rPr>
      <t>Service Revision Dat</t>
    </r>
    <r>
      <rPr>
        <sz val="10"/>
        <rFont val="Times New Roman"/>
        <family val="1"/>
      </rPr>
      <t>e - Record date service is revised as a result of an IEP team decision (month,day,year).</t>
    </r>
  </si>
  <si>
    <r>
      <rPr>
        <b/>
        <sz val="10"/>
        <rFont val="Times New Roman"/>
        <family val="1"/>
      </rPr>
      <t>Service Revision: Explain</t>
    </r>
    <r>
      <rPr>
        <sz val="10"/>
        <rFont val="Times New Roman"/>
        <family val="1"/>
      </rPr>
      <t xml:space="preserve"> - Identify the service and how it has changed as a result of an IEP team decision. (ex.-  One-to-one classroom aide - end                                                                                                                          service)</t>
    </r>
  </si>
  <si>
    <r>
      <rPr>
        <b/>
        <sz val="10"/>
        <rFont val="Times New Roman"/>
        <family val="1"/>
      </rPr>
      <t>School</t>
    </r>
    <r>
      <rPr>
        <sz val="10"/>
        <rFont val="Times New Roman"/>
        <family val="1"/>
      </rPr>
      <t xml:space="preserve"> I</t>
    </r>
    <r>
      <rPr>
        <b/>
        <sz val="10"/>
        <rFont val="Times New Roman"/>
        <family val="1"/>
      </rPr>
      <t>nformation</t>
    </r>
    <r>
      <rPr>
        <sz val="10"/>
        <rFont val="Times New Roman"/>
        <family val="1"/>
      </rPr>
      <t xml:space="preserve"> is completed and locked by MSDE.</t>
    </r>
  </si>
  <si>
    <r>
      <rPr>
        <b/>
        <sz val="10"/>
        <rFont val="Times New Roman"/>
        <family val="1"/>
      </rPr>
      <t>Sections A through C</t>
    </r>
    <r>
      <rPr>
        <sz val="10"/>
        <rFont val="Times New Roman"/>
        <family val="1"/>
      </rPr>
      <t xml:space="preserve">, for a </t>
    </r>
    <r>
      <rPr>
        <b/>
        <sz val="10"/>
        <rFont val="Times New Roman"/>
        <family val="1"/>
      </rPr>
      <t>full year placement -</t>
    </r>
    <r>
      <rPr>
        <sz val="10"/>
        <rFont val="Times New Roman"/>
        <family val="1"/>
      </rPr>
      <t xml:space="preserve"> Indicate on an annual basis the number of billable days.</t>
    </r>
  </si>
  <si>
    <r>
      <rPr>
        <b/>
        <sz val="10"/>
        <rFont val="Times New Roman"/>
        <family val="1"/>
      </rPr>
      <t>Section D</t>
    </r>
    <r>
      <rPr>
        <sz val="10"/>
        <rFont val="Times New Roman"/>
        <family val="1"/>
      </rPr>
      <t xml:space="preserve">, </t>
    </r>
    <r>
      <rPr>
        <b/>
        <sz val="10"/>
        <rFont val="Times New Roman"/>
        <family val="1"/>
      </rPr>
      <t xml:space="preserve">under # </t>
    </r>
    <r>
      <rPr>
        <sz val="10"/>
        <rFont val="Times New Roman"/>
        <family val="1"/>
      </rPr>
      <t xml:space="preserve">of </t>
    </r>
    <r>
      <rPr>
        <b/>
        <sz val="10"/>
        <rFont val="Times New Roman"/>
        <family val="1"/>
      </rPr>
      <t>Units of Service -</t>
    </r>
    <r>
      <rPr>
        <sz val="10"/>
        <rFont val="Times New Roman"/>
        <family val="1"/>
      </rPr>
      <t xml:space="preserve"> Record the number of units of service the student will receive for the program year for each related service in addition to the standard bundled services.</t>
    </r>
  </si>
  <si>
    <r>
      <rPr>
        <b/>
        <sz val="10"/>
        <rFont val="Times New Roman"/>
        <family val="1"/>
      </rPr>
      <t>Sections A through C</t>
    </r>
    <r>
      <rPr>
        <sz val="10"/>
        <rFont val="Times New Roman"/>
        <family val="1"/>
      </rPr>
      <t xml:space="preserve">, for </t>
    </r>
    <r>
      <rPr>
        <b/>
        <sz val="10"/>
        <rFont val="Times New Roman"/>
        <family val="1"/>
      </rPr>
      <t>late entry/early withdrawal or modification -</t>
    </r>
    <r>
      <rPr>
        <sz val="10"/>
        <rFont val="Times New Roman"/>
        <family val="1"/>
      </rPr>
      <t xml:space="preserve"> Indicate the total number of billable days. </t>
    </r>
  </si>
  <si>
    <r>
      <rPr>
        <b/>
        <sz val="10"/>
        <rFont val="Times New Roman"/>
        <family val="1"/>
      </rPr>
      <t>Sections D under # of Units of Service</t>
    </r>
    <r>
      <rPr>
        <sz val="10"/>
        <rFont val="Times New Roman"/>
        <family val="1"/>
      </rPr>
      <t xml:space="preserve"> - Record the number of units of service the student will receive for the program year for each related service in addition to the standard bundled services.  </t>
    </r>
  </si>
  <si>
    <r>
      <rPr>
        <b/>
        <sz val="10"/>
        <rFont val="Times New Roman"/>
        <family val="1"/>
      </rPr>
      <t>Assurances</t>
    </r>
    <r>
      <rPr>
        <sz val="10"/>
        <rFont val="Times New Roman"/>
        <family val="1"/>
      </rPr>
      <t xml:space="preserve"> - </t>
    </r>
  </si>
  <si>
    <r>
      <t xml:space="preserve">A. </t>
    </r>
    <r>
      <rPr>
        <b/>
        <sz val="10"/>
        <rFont val="Times New Roman"/>
        <family val="1"/>
      </rPr>
      <t>Education and Basic Related Services</t>
    </r>
    <r>
      <rPr>
        <sz val="10"/>
        <rFont val="Times New Roman"/>
        <family val="1"/>
      </rPr>
      <t xml:space="preserve"> - Approved cost of annual tuition including basic related (bundled) services for all students in the program</t>
    </r>
  </si>
  <si>
    <r>
      <rPr>
        <b/>
        <sz val="10"/>
        <rFont val="Times New Roman"/>
        <family val="1"/>
      </rPr>
      <t>Days</t>
    </r>
    <r>
      <rPr>
        <sz val="10"/>
        <rFont val="Times New Roman"/>
        <family val="1"/>
      </rPr>
      <t xml:space="preserve"> - Indicates number of days student is expected to receive services</t>
    </r>
  </si>
  <si>
    <r>
      <rPr>
        <b/>
        <sz val="10"/>
        <rFont val="Times New Roman"/>
        <family val="1"/>
      </rPr>
      <t xml:space="preserve">Per diem $ </t>
    </r>
    <r>
      <rPr>
        <sz val="10"/>
        <rFont val="Times New Roman"/>
        <family val="1"/>
      </rPr>
      <t xml:space="preserve">- Approved rate is entered and locked by MSDE.  </t>
    </r>
  </si>
  <si>
    <r>
      <t xml:space="preserve">B. </t>
    </r>
    <r>
      <rPr>
        <b/>
        <sz val="10"/>
        <rFont val="Times New Roman"/>
        <family val="1"/>
      </rPr>
      <t>Residential Services</t>
    </r>
    <r>
      <rPr>
        <sz val="10"/>
        <rFont val="Times New Roman"/>
        <family val="1"/>
      </rPr>
      <t xml:space="preserve"> - Approved cost of residential services including basic related services for all students in the program (if applicable)                                                                                                                                                                                                                                                                                                                                                                           services in the child's plan of care. </t>
    </r>
  </si>
  <si>
    <r>
      <rPr>
        <b/>
        <sz val="10"/>
        <rFont val="Times New Roman"/>
        <family val="1"/>
      </rPr>
      <t>Days</t>
    </r>
    <r>
      <rPr>
        <sz val="10"/>
        <rFont val="Times New Roman"/>
        <family val="1"/>
      </rPr>
      <t xml:space="preserve"> - Indicates number of days student is expected to receive residential services</t>
    </r>
  </si>
  <si>
    <r>
      <rPr>
        <b/>
        <sz val="10"/>
        <rFont val="Times New Roman"/>
        <family val="1"/>
      </rPr>
      <t xml:space="preserve">Per diem $ </t>
    </r>
    <r>
      <rPr>
        <sz val="10"/>
        <rFont val="Times New Roman"/>
        <family val="1"/>
      </rPr>
      <t xml:space="preserve">- Approved rate is entered and locked by MSDE.   </t>
    </r>
  </si>
  <si>
    <r>
      <rPr>
        <b/>
        <sz val="10"/>
        <rFont val="Times New Roman"/>
        <family val="1"/>
      </rPr>
      <t>Lead Agency</t>
    </r>
    <r>
      <rPr>
        <sz val="10"/>
        <rFont val="Times New Roman"/>
        <family val="1"/>
      </rPr>
      <t xml:space="preserve"> - Local agency(ies) identified by the LCC as responsible for oversight of the child's plan of care </t>
    </r>
  </si>
  <si>
    <r>
      <rPr>
        <b/>
        <sz val="10"/>
        <rFont val="Times New Roman"/>
        <family val="1"/>
      </rPr>
      <t xml:space="preserve">Funding Source </t>
    </r>
    <r>
      <rPr>
        <sz val="10"/>
        <rFont val="Times New Roman"/>
        <family val="1"/>
      </rPr>
      <t xml:space="preserve">- Identifies source(s) of fund(s) and the agency(ies) fiscally responsible for residential/treatment and related services </t>
    </r>
  </si>
  <si>
    <r>
      <rPr>
        <b/>
        <sz val="10"/>
        <rFont val="Times New Roman"/>
        <family val="1"/>
      </rPr>
      <t>Direction:</t>
    </r>
    <r>
      <rPr>
        <sz val="10"/>
        <rFont val="Times New Roman"/>
        <family val="1"/>
      </rPr>
      <t xml:space="preserve"> Use the drop down menus to indicate appropriate information. Two response fields are provided for co-lead/co-funded cases.</t>
    </r>
  </si>
  <si>
    <r>
      <t xml:space="preserve">C. </t>
    </r>
    <r>
      <rPr>
        <b/>
        <sz val="10"/>
        <rFont val="Times New Roman"/>
        <family val="1"/>
      </rPr>
      <t>Extended School Year</t>
    </r>
    <r>
      <rPr>
        <sz val="10"/>
        <rFont val="Times New Roman"/>
        <family val="1"/>
      </rPr>
      <t xml:space="preserve"> - Approved cost of extended school year services (applicable for student if approved by IEP team) </t>
    </r>
  </si>
  <si>
    <r>
      <rPr>
        <b/>
        <sz val="10"/>
        <rFont val="Times New Roman"/>
        <family val="1"/>
      </rPr>
      <t>Per diem $</t>
    </r>
    <r>
      <rPr>
        <sz val="10"/>
        <rFont val="Times New Roman"/>
        <family val="1"/>
      </rPr>
      <t xml:space="preserve">  - Approved rate is entered and locked by MSDE. </t>
    </r>
  </si>
  <si>
    <r>
      <t>D</t>
    </r>
    <r>
      <rPr>
        <b/>
        <sz val="10"/>
        <rFont val="Times New Roman"/>
        <family val="1"/>
      </rPr>
      <t>. Related Services/Other IEP Services</t>
    </r>
    <r>
      <rPr>
        <sz val="10"/>
        <rFont val="Times New Roman"/>
        <family val="1"/>
      </rPr>
      <t xml:space="preserve"> - Identifies </t>
    </r>
    <r>
      <rPr>
        <b/>
        <sz val="10"/>
        <rFont val="Times New Roman"/>
        <family val="1"/>
      </rPr>
      <t>additional</t>
    </r>
    <r>
      <rPr>
        <sz val="10"/>
        <rFont val="Times New Roman"/>
        <family val="1"/>
      </rPr>
      <t xml:space="preserve"> hours of </t>
    </r>
    <r>
      <rPr>
        <b/>
        <sz val="10"/>
        <rFont val="Times New Roman"/>
        <family val="1"/>
      </rPr>
      <t>approved IEP</t>
    </r>
    <r>
      <rPr>
        <sz val="10"/>
        <rFont val="Times New Roman"/>
        <family val="1"/>
      </rPr>
      <t xml:space="preserve"> related services, supplementary aids, program modifications, services and supports not included in  the "Education and Basic Related Services" per diem rate. Related Service rates must be approved by MSDE.</t>
    </r>
  </si>
  <si>
    <r>
      <rPr>
        <b/>
        <sz val="10"/>
        <rFont val="Times New Roman"/>
        <family val="1"/>
      </rPr>
      <t>Assurances</t>
    </r>
    <r>
      <rPr>
        <sz val="10"/>
        <rFont val="Times New Roman"/>
        <family val="1"/>
      </rPr>
      <t xml:space="preserve"> : Signatures of the Director of Education and Director of Finance verify the accuracy of the document and certify the anticipation/provision of indicated services. Signatures assure the limit of costs anticipated/recovered for these services.   </t>
    </r>
  </si>
  <si>
    <r>
      <rPr>
        <b/>
        <sz val="10"/>
        <rFont val="Arial"/>
        <family val="2"/>
      </rPr>
      <t>NOTE:</t>
    </r>
    <r>
      <rPr>
        <sz val="10"/>
        <rFont val="Arial"/>
        <family val="2"/>
      </rPr>
      <t xml:space="preserve">  </t>
    </r>
  </si>
  <si>
    <t>City</t>
  </si>
  <si>
    <t>State</t>
  </si>
  <si>
    <t>Zip</t>
  </si>
  <si>
    <t>School Phone</t>
  </si>
  <si>
    <t>School Fax</t>
  </si>
  <si>
    <t>Legal Authority Name</t>
  </si>
  <si>
    <t>School Number</t>
  </si>
  <si>
    <t>Federal Tax ID #</t>
  </si>
  <si>
    <t>Standard Related Service(s) Included in Education Program Rate</t>
  </si>
  <si>
    <t>Full day/Partial day</t>
  </si>
  <si>
    <t># of Billable Weeks</t>
  </si>
  <si>
    <t>Approved  Budget</t>
  </si>
  <si>
    <t>Approved Budget</t>
  </si>
  <si>
    <t xml:space="preserve">     Enter each included related service and the percentage of students who receive the </t>
  </si>
  <si>
    <t xml:space="preserve">     service.</t>
  </si>
  <si>
    <t xml:space="preserve"> Revised  Budget</t>
  </si>
  <si>
    <t xml:space="preserve"> Revised Budget</t>
  </si>
  <si>
    <t>Partial Day</t>
  </si>
  <si>
    <t>Full Day</t>
  </si>
  <si>
    <t>Budget Process Verification</t>
  </si>
  <si>
    <t>Date Received by MSDE</t>
  </si>
  <si>
    <t xml:space="preserve">Inclement Weather Policy and Procedure: Identify Make-up Days or Provide Complete Copy of School Policy                                                                                                                                                             </t>
  </si>
  <si>
    <t>Position Description</t>
  </si>
  <si>
    <t>Drop Down List</t>
  </si>
  <si>
    <t>Positions Description</t>
  </si>
  <si>
    <t>Item Description</t>
  </si>
  <si>
    <t>Revision 1</t>
  </si>
  <si>
    <t>Revision 2</t>
  </si>
  <si>
    <t xml:space="preserve">Date Cost Sheet Template Issued </t>
  </si>
  <si>
    <t>Revision to Cost Sheet Template</t>
  </si>
  <si>
    <t>Audiology</t>
  </si>
  <si>
    <t>Administration</t>
  </si>
  <si>
    <t>Finance</t>
  </si>
  <si>
    <t>Administrative Head</t>
  </si>
  <si>
    <t>Education Director</t>
  </si>
  <si>
    <t>Assistant Education Director</t>
  </si>
  <si>
    <t>IEP Coordinator</t>
  </si>
  <si>
    <t>Supervisor of Related Services</t>
  </si>
  <si>
    <t>001 002 006</t>
  </si>
  <si>
    <t>Classroom Aides</t>
  </si>
  <si>
    <t>Classroom Teacher</t>
  </si>
  <si>
    <t>Physical Education Teacher</t>
  </si>
  <si>
    <t>Reading Specialist</t>
  </si>
  <si>
    <t>Specialty Area Teacher</t>
  </si>
  <si>
    <t>Counselor</t>
  </si>
  <si>
    <t>Nurse</t>
  </si>
  <si>
    <t>Job Coach</t>
  </si>
  <si>
    <t>IEP One to One Aide</t>
  </si>
  <si>
    <t>Transition Facilitator</t>
  </si>
  <si>
    <t>001 005 006</t>
  </si>
  <si>
    <t>001 005 007</t>
  </si>
  <si>
    <t>001 005 008</t>
  </si>
  <si>
    <t>001 005 009</t>
  </si>
  <si>
    <t>Human Resource</t>
  </si>
  <si>
    <t>Advertising for Employment</t>
  </si>
  <si>
    <t>Archiving</t>
  </si>
  <si>
    <t>Professional Materials</t>
  </si>
  <si>
    <t>Vehicle Lease</t>
  </si>
  <si>
    <t>Professional Learning</t>
  </si>
  <si>
    <t>Liability Insurance</t>
  </si>
  <si>
    <t>Lead Teacher</t>
  </si>
  <si>
    <t>Salary Schedule for General Management Oversight Indirect Cost Positions</t>
  </si>
  <si>
    <t xml:space="preserve">Student Count FTE </t>
  </si>
  <si>
    <t xml:space="preserve">Education Director </t>
  </si>
  <si>
    <t xml:space="preserve">Finance Director </t>
  </si>
  <si>
    <t>001 003 006</t>
  </si>
  <si>
    <t>ASL Interpreter</t>
  </si>
  <si>
    <t>Social Worker / LCPC</t>
  </si>
  <si>
    <t>001 004 004</t>
  </si>
  <si>
    <t>001 004 003</t>
  </si>
  <si>
    <t>001 004 005</t>
  </si>
  <si>
    <t>001 004 006</t>
  </si>
  <si>
    <t>001 004 009</t>
  </si>
  <si>
    <t>001 004 011</t>
  </si>
  <si>
    <t>001 004 012</t>
  </si>
  <si>
    <t>001 004 013</t>
  </si>
  <si>
    <t>001 006 002</t>
  </si>
  <si>
    <t>001 006 003</t>
  </si>
  <si>
    <t>001 006 004</t>
  </si>
  <si>
    <t>001 006 005</t>
  </si>
  <si>
    <t>Information Systems</t>
  </si>
  <si>
    <t>School Email</t>
  </si>
  <si>
    <t>Executive Director</t>
  </si>
  <si>
    <t>Instructional Materials</t>
  </si>
  <si>
    <t>Occupational Therapist</t>
  </si>
  <si>
    <t>Psychiatrist</t>
  </si>
  <si>
    <t>Psychologist</t>
  </si>
  <si>
    <t>Residential Coordinator</t>
  </si>
  <si>
    <t>005 0080000</t>
  </si>
  <si>
    <t>Template</t>
  </si>
  <si>
    <t>Form 3</t>
  </si>
  <si>
    <t>Student / IEP Related</t>
  </si>
  <si>
    <t>012 002 000</t>
  </si>
  <si>
    <t>012 003 000</t>
  </si>
  <si>
    <t>Salaries (Form 3F)</t>
  </si>
  <si>
    <t>Subtotal Indirect Costs (Populates to Form 2A)</t>
  </si>
  <si>
    <t>Total -- Direct Positions</t>
  </si>
  <si>
    <t>Job Title</t>
  </si>
  <si>
    <t>Salary Schedule for Job Title(s) Requiring Technical Assistance</t>
  </si>
  <si>
    <t>Salary Schedule for Direct School Administrative Positions</t>
  </si>
  <si>
    <t xml:space="preserve">Related Services: Providers A-N   </t>
  </si>
  <si>
    <t xml:space="preserve">Total Hours </t>
  </si>
  <si>
    <t>Medical Assistance (80%)</t>
  </si>
  <si>
    <t>Billable Days</t>
  </si>
  <si>
    <t>Income</t>
  </si>
  <si>
    <t>Rate/Hour</t>
  </si>
  <si>
    <t xml:space="preserve">Supplementary Aids, Services, Program Modifications and Supports A - K </t>
  </si>
  <si>
    <t>Tuition (Total # of Billable Days = Total Students FTEs  X  Total Days)</t>
  </si>
  <si>
    <t>Other Revenue (Describe revenue source and provide income total. Report any excess revenue from prior year(s))</t>
  </si>
  <si>
    <t>Total -- Job Title(s) Requiring Technical Assistance</t>
  </si>
  <si>
    <t>Total -- Direct School Administration</t>
  </si>
  <si>
    <t>Direct School Administratiion</t>
  </si>
  <si>
    <t>Job Titles Requiring Assistance</t>
  </si>
  <si>
    <t>Total -- General Management Oversight Indirect Costs</t>
  </si>
  <si>
    <t>Total --Rental/Maintenance of Equipment</t>
  </si>
  <si>
    <t>The facility participates in Maryland's Medical Assistance Program</t>
  </si>
  <si>
    <t>001 050 002</t>
  </si>
  <si>
    <t>001 050 003</t>
  </si>
  <si>
    <t>001 050 004</t>
  </si>
  <si>
    <t>001 050 005</t>
  </si>
  <si>
    <t>Media Specialist</t>
  </si>
  <si>
    <t>001 005 010</t>
  </si>
  <si>
    <t xml:space="preserve">    Direct School Administrative</t>
  </si>
  <si>
    <t>Custodial/Grounds</t>
  </si>
  <si>
    <t>Mileage</t>
  </si>
  <si>
    <t xml:space="preserve">Conferences </t>
  </si>
  <si>
    <t>Leasehold</t>
  </si>
  <si>
    <t xml:space="preserve">015 005 000 </t>
  </si>
  <si>
    <t xml:space="preserve">012 001 000 </t>
  </si>
  <si>
    <t>012 004 000</t>
  </si>
  <si>
    <t>001 005 003</t>
  </si>
  <si>
    <t>Student Breakfast/Lunch</t>
  </si>
  <si>
    <t>001 005 011</t>
  </si>
  <si>
    <t>Student Library Supplies</t>
  </si>
  <si>
    <t>005 007 000</t>
  </si>
  <si>
    <t>Mortgage Principal*</t>
  </si>
  <si>
    <t>Building*</t>
  </si>
  <si>
    <t>015 002 000</t>
  </si>
  <si>
    <t xml:space="preserve">015 003 000 </t>
  </si>
  <si>
    <t>Average Salary</t>
  </si>
  <si>
    <r>
      <t>Supporting Schedule for</t>
    </r>
    <r>
      <rPr>
        <b/>
        <sz val="12"/>
        <rFont val="Times"/>
        <family val="0"/>
      </rPr>
      <t xml:space="preserve"> Contractual Professional Fees</t>
    </r>
  </si>
  <si>
    <t>3G</t>
  </si>
  <si>
    <t>Type of Program</t>
  </si>
  <si>
    <t xml:space="preserve">Type of School </t>
  </si>
  <si>
    <t>Vacant Position</t>
  </si>
  <si>
    <t>Executive Director/President</t>
  </si>
  <si>
    <t>Date of Vacancy</t>
  </si>
  <si>
    <t>Date When Position Was Filled</t>
  </si>
  <si>
    <t xml:space="preserve">Director of Education </t>
  </si>
  <si>
    <t xml:space="preserve">Director of Finance </t>
  </si>
  <si>
    <t>Form Submission Date</t>
  </si>
  <si>
    <t>Name and Title of Person Completing  Form</t>
  </si>
  <si>
    <t xml:space="preserve">Phone Number of Person Completing  Form </t>
  </si>
  <si>
    <t xml:space="preserve">Submission of this form, does not satisfy the school's obligation to notify the MSDE School Approval Branch in accordance with COMAR 13A.09.10.18B(2). </t>
  </si>
  <si>
    <t>Change in Education Director</t>
  </si>
  <si>
    <t>Submission Timeline</t>
  </si>
  <si>
    <t>Interim Plan: How are/were job responsibilities managed during the vacancy period?</t>
  </si>
  <si>
    <t>Projected Date for Position to be Filled</t>
  </si>
  <si>
    <t>Information Changes  &amp; Vacancy Form</t>
  </si>
  <si>
    <t>Vacancy Exceeding 30 Calendar Days</t>
  </si>
  <si>
    <t xml:space="preserve">1.  Any change in Demographic Information is to be reported within 10 business days. </t>
  </si>
  <si>
    <t xml:space="preserve">When the vacancy extends beyond the 30 calendar days, the school must submit the form a second time within 10 days of filling the position. It may be required for the nonpublic school to provide reimbursement for the costs of any unused salary for positions.  </t>
  </si>
  <si>
    <t>Salary Schedule for Related Services Positions (Report Contractual Staff on Form 4C)</t>
  </si>
  <si>
    <t>Salary Schedule Summary for Direct Positions (Forms 3/3A - 3D)</t>
  </si>
  <si>
    <r>
      <t xml:space="preserve">Supporting Schedule for </t>
    </r>
    <r>
      <rPr>
        <b/>
        <sz val="12"/>
        <rFont val="Times"/>
        <family val="0"/>
      </rPr>
      <t>Occupancy</t>
    </r>
  </si>
  <si>
    <t>Accounting (Indirect)</t>
  </si>
  <si>
    <t xml:space="preserve">Consultant (Indirect) </t>
  </si>
  <si>
    <t>Legal (Indirect)</t>
  </si>
  <si>
    <t>Maintenance Related</t>
  </si>
  <si>
    <t>Office Supplies</t>
  </si>
  <si>
    <t>School Health Supplies</t>
  </si>
  <si>
    <t>005 005 000</t>
  </si>
  <si>
    <t>005 006 000</t>
  </si>
  <si>
    <t xml:space="preserve">Printing/Production </t>
  </si>
  <si>
    <t>Total Unused Salary as a Result of the Vacancy</t>
  </si>
  <si>
    <t>Form 5A</t>
  </si>
  <si>
    <t>Form 5B</t>
  </si>
  <si>
    <t>Expenditure (Direct / Indirect)</t>
  </si>
  <si>
    <t>Revenue Amount</t>
  </si>
  <si>
    <t xml:space="preserve">Equipment Maintenance </t>
  </si>
  <si>
    <t>Background Checks</t>
  </si>
  <si>
    <r>
      <t>Supporting Schedule for</t>
    </r>
    <r>
      <rPr>
        <b/>
        <sz val="12"/>
        <rFont val="Times"/>
        <family val="0"/>
      </rPr>
      <t xml:space="preserve"> Rental/Equipment Maintenance</t>
    </r>
  </si>
  <si>
    <t>Contractual Professional Fees</t>
  </si>
  <si>
    <t xml:space="preserve">Salaries:General Mgt Oversight </t>
  </si>
  <si>
    <t>Salaries (Form 3E)</t>
  </si>
  <si>
    <t xml:space="preserve">Instructional Equipment </t>
  </si>
  <si>
    <t xml:space="preserve">% Indirect Costs to Direct Costs  </t>
  </si>
  <si>
    <t xml:space="preserve">004 010 000 </t>
  </si>
  <si>
    <t xml:space="preserve">004 011 000 </t>
  </si>
  <si>
    <t>Benefit &amp; Tax % =</t>
  </si>
  <si>
    <t>2.  Within 30 calendar days of a position vacancy (listed above), notify the MSDE Nonpublic Special Education Section by completing this form as applicable at the time of submission. Upload the form to the MSDE Nonpublic Secure Server and send a posting notification email to Camillus Ugwu, Nonpublic Special Education Section Program  Specialist at Camillus.Ugwu@Maryland.gov.</t>
  </si>
  <si>
    <t>(MSDE Internal Adjustment)</t>
  </si>
  <si>
    <t>(MSDE Internal Adjustments)</t>
  </si>
  <si>
    <t>(MSDE Intenal Adjustments)</t>
  </si>
  <si>
    <t>(MSDE Inteanl Adjustments)</t>
  </si>
  <si>
    <t>004 008 000</t>
  </si>
  <si>
    <t>004 012 000</t>
  </si>
  <si>
    <t>Total Number of Business Days Position was Vacant</t>
  </si>
  <si>
    <r>
      <t xml:space="preserve">     If the provider is not part of the instructional team and/or </t>
    </r>
    <r>
      <rPr>
        <b/>
        <sz val="10"/>
        <rFont val="Arial"/>
        <family val="2"/>
      </rPr>
      <t xml:space="preserve">less than 80% </t>
    </r>
    <r>
      <rPr>
        <sz val="10"/>
        <rFont val="Arial"/>
        <family val="2"/>
      </rPr>
      <t xml:space="preserve">of the </t>
    </r>
  </si>
  <si>
    <r>
      <t xml:space="preserve">     students receive the related service, the related services </t>
    </r>
    <r>
      <rPr>
        <b/>
        <sz val="10"/>
        <rFont val="Arial"/>
        <family val="2"/>
      </rPr>
      <t>must be</t>
    </r>
    <r>
      <rPr>
        <sz val="10"/>
        <rFont val="Arial"/>
        <family val="2"/>
      </rPr>
      <t xml:space="preserve"> billed separately.</t>
    </r>
  </si>
  <si>
    <t>FY 2022</t>
  </si>
  <si>
    <t>Budget FY 2023</t>
  </si>
  <si>
    <t>Final Expenditure FY 2022</t>
  </si>
  <si>
    <t>FY 2023</t>
  </si>
  <si>
    <t>FY 2022 Projected Student FTE</t>
  </si>
  <si>
    <t>FY 2022 Actual Student FTE</t>
  </si>
  <si>
    <t>FY 2022 Per Diem Rate</t>
  </si>
  <si>
    <t xml:space="preserve">FY 2022 Final </t>
  </si>
  <si>
    <t>Annual Program Cost Sheet Instructions – Program Year 2023-2024</t>
  </si>
  <si>
    <t>Draft - 12/2022</t>
  </si>
  <si>
    <t>FY 2022 -  Revenue in Excess of 10%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</si>
</sst>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Red]&quot;$&quot;#,##0.00"/>
    <numFmt numFmtId="167" formatCode="\+0.00%;\-0.00%"/>
    <numFmt numFmtId="168" formatCode="[&lt;=9999999]###\-####;\(###\)\ ###\-####"/>
    <numFmt numFmtId="169" formatCode="m/d"/>
    <numFmt numFmtId="170" formatCode="&quot;$&quot;#,##0.000000000"/>
    <numFmt numFmtId="171" formatCode="#,##0.00000"/>
    <numFmt numFmtId="172" formatCode="&quot;$&quot;#,##0.0000000"/>
    <numFmt numFmtId="173" formatCode="[$-409]h:mm:ss\ AM/PM"/>
    <numFmt numFmtId="174" formatCode="[$-409]dddd\,\ mmmm\ dd\,\ yyyy"/>
    <numFmt numFmtId="175" formatCode="m/d/yy;@"/>
    <numFmt numFmtId="176" formatCode="[$-F800]dddd\,\ mmmm\ dd\,\ yyyy"/>
  </numFmts>
  <fonts count="83">
    <font>
      <sz val="10"/>
      <name val="Arial"/>
      <family val="0"/>
    </font>
    <font>
      <sz val="11"/>
      <color indexed="8"/>
      <name val="Calibri"/>
      <family val="2"/>
    </font>
    <font>
      <sz val="10"/>
      <name val="Times New Roman"/>
      <family val="1"/>
    </font>
    <font>
      <b/>
      <sz val="12"/>
      <name val="Times New Roman"/>
      <family val="1"/>
    </font>
    <font>
      <sz val="12"/>
      <name val="Times New Roman"/>
      <family val="1"/>
    </font>
    <font>
      <sz val="8"/>
      <name val="Times New Roman"/>
      <family val="1"/>
    </font>
    <font>
      <b/>
      <sz val="10"/>
      <name val="Arial"/>
      <family val="2"/>
    </font>
    <font>
      <sz val="12"/>
      <name val="Arial"/>
      <family val="2"/>
    </font>
    <font>
      <b/>
      <sz val="12"/>
      <color indexed="49"/>
      <name val="Times"/>
      <family val="1"/>
    </font>
    <font>
      <b/>
      <sz val="12"/>
      <color indexed="12"/>
      <name val="Times"/>
      <family val="1"/>
    </font>
    <font>
      <b/>
      <sz val="12"/>
      <name val="Times"/>
      <family val="1"/>
    </font>
    <font>
      <sz val="10"/>
      <name val="Times"/>
      <family val="1"/>
    </font>
    <font>
      <sz val="8"/>
      <name val="Times"/>
      <family val="1"/>
    </font>
    <font>
      <sz val="11"/>
      <name val="Arial"/>
      <family val="2"/>
    </font>
    <font>
      <b/>
      <sz val="10"/>
      <name val="Times New Roman"/>
      <family val="1"/>
    </font>
    <font>
      <b/>
      <sz val="10"/>
      <name val="Times"/>
      <family val="1"/>
    </font>
    <font>
      <b/>
      <sz val="11"/>
      <name val="Times New Roman"/>
      <family val="1"/>
    </font>
    <font>
      <u val="single"/>
      <sz val="10"/>
      <color indexed="12"/>
      <name val="Arial"/>
      <family val="2"/>
    </font>
    <font>
      <sz val="10"/>
      <color indexed="12"/>
      <name val="Arial"/>
      <family val="2"/>
    </font>
    <font>
      <sz val="10"/>
      <color indexed="12"/>
      <name val="Times New Roman"/>
      <family val="1"/>
    </font>
    <font>
      <sz val="8"/>
      <name val="Arial"/>
      <family val="2"/>
    </font>
    <font>
      <b/>
      <sz val="12"/>
      <color indexed="12"/>
      <name val="Times New Roman"/>
      <family val="1"/>
    </font>
    <font>
      <b/>
      <sz val="12"/>
      <color indexed="49"/>
      <name val="Times New Roman"/>
      <family val="1"/>
    </font>
    <font>
      <b/>
      <sz val="12"/>
      <color indexed="49"/>
      <name val="Arial"/>
      <family val="2"/>
    </font>
    <font>
      <b/>
      <sz val="12"/>
      <color indexed="8"/>
      <name val="Times New Roman"/>
      <family val="1"/>
    </font>
    <font>
      <sz val="10"/>
      <name val="Tahoma"/>
      <family val="2"/>
    </font>
    <font>
      <sz val="12"/>
      <name val="Tahoma"/>
      <family val="2"/>
    </font>
    <font>
      <sz val="12"/>
      <name val="Times"/>
      <family val="1"/>
    </font>
    <font>
      <b/>
      <sz val="12"/>
      <name val="Arial"/>
      <family val="2"/>
    </font>
    <font>
      <sz val="16"/>
      <name val="Arial"/>
      <family val="2"/>
    </font>
    <font>
      <b/>
      <sz val="11"/>
      <name val="Arial"/>
      <family val="2"/>
    </font>
    <font>
      <sz val="11"/>
      <name val="Times New Roman"/>
      <family val="1"/>
    </font>
    <font>
      <sz val="8"/>
      <color indexed="10"/>
      <name val="Times"/>
      <family val="1"/>
    </font>
    <font>
      <sz val="10"/>
      <color indexed="10"/>
      <name val="Arial"/>
      <family val="2"/>
    </font>
    <font>
      <b/>
      <sz val="11"/>
      <name val="Tahoma"/>
      <family val="2"/>
    </font>
    <font>
      <b/>
      <sz val="10"/>
      <color indexed="10"/>
      <name val="Arial"/>
      <family val="2"/>
    </font>
    <font>
      <u val="single"/>
      <sz val="10"/>
      <name val="Times New Roman"/>
      <family val="1"/>
    </font>
    <font>
      <u val="single"/>
      <sz val="10"/>
      <color indexed="8"/>
      <name val="Times New Roman"/>
      <family val="1"/>
    </font>
    <font>
      <sz val="9"/>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b/>
      <sz val="11"/>
      <color indexed="12"/>
      <name val="Arial"/>
      <family val="2"/>
    </font>
    <font>
      <b/>
      <sz val="10"/>
      <color indexed="36"/>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2"/>
      <color rgb="FF2909E7"/>
      <name val="Times New Roman"/>
      <family val="1"/>
    </font>
    <font>
      <b/>
      <sz val="11"/>
      <color rgb="FF0000FF"/>
      <name val="Arial"/>
      <family val="2"/>
    </font>
    <font>
      <b/>
      <sz val="10"/>
      <color rgb="FFFF0000"/>
      <name val="Arial"/>
      <family val="2"/>
    </font>
    <font>
      <sz val="10"/>
      <color rgb="FFFF0000"/>
      <name val="Arial"/>
      <family val="2"/>
    </font>
    <font>
      <b/>
      <sz val="10"/>
      <color rgb="FF7030A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6"/>
        <bgColor indexed="64"/>
      </patternFill>
    </fill>
    <fill>
      <patternFill patternType="lightGray">
        <fgColor indexed="22"/>
      </patternFill>
    </fill>
    <fill>
      <patternFill patternType="lightGray">
        <fgColor indexed="63"/>
      </patternFill>
    </fill>
    <fill>
      <patternFill patternType="solid">
        <fgColor indexed="22"/>
        <bgColor indexed="64"/>
      </patternFill>
    </fill>
    <fill>
      <patternFill patternType="solid">
        <fgColor indexed="45"/>
        <bgColor indexed="64"/>
      </patternFill>
    </fill>
    <fill>
      <patternFill patternType="darkTrellis">
        <fgColor indexed="22"/>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
      <patternFill patternType="mediumGray">
        <fgColor indexed="22"/>
      </patternFill>
    </fill>
    <fill>
      <patternFill patternType="lightGray">
        <fgColor indexed="9"/>
      </patternFill>
    </fill>
    <fill>
      <patternFill patternType="solid">
        <fgColor theme="0"/>
        <bgColor indexed="64"/>
      </patternFill>
    </fill>
    <fill>
      <patternFill patternType="lightGray">
        <fgColor theme="0"/>
        <bgColor theme="0"/>
      </patternFill>
    </fill>
    <fill>
      <patternFill patternType="lightGray">
        <fgColor theme="1" tint="0.49998000264167786"/>
      </patternFill>
    </fill>
    <fill>
      <patternFill patternType="lightGray">
        <fgColor theme="1"/>
      </patternFill>
    </fill>
    <fill>
      <patternFill patternType="lightGray">
        <fgColor theme="0" tint="-0.24993999302387238"/>
        <bgColor theme="0"/>
      </patternFill>
    </fill>
    <fill>
      <patternFill patternType="lightGray">
        <fgColor theme="0" tint="-0.24993999302387238"/>
      </patternFill>
    </fill>
    <fill>
      <patternFill patternType="lightGray">
        <fgColor theme="0" tint="-0.24993999302387238"/>
        <bgColor indexed="9"/>
      </patternFill>
    </fill>
    <fill>
      <patternFill patternType="mediumGray">
        <fgColor theme="0"/>
        <bgColor theme="0"/>
      </patternFill>
    </fill>
    <fill>
      <patternFill patternType="mediumGray"/>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hair"/>
      <bottom style="hair"/>
    </border>
    <border>
      <left>
        <color indexed="63"/>
      </left>
      <right>
        <color indexed="63"/>
      </right>
      <top style="thin">
        <color theme="4"/>
      </top>
      <bottom style="double">
        <color theme="4"/>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style="medium"/>
      <bottom style="hair"/>
    </border>
    <border>
      <left style="medium"/>
      <right/>
      <top style="hair"/>
      <bottom style="hair"/>
    </border>
    <border>
      <left/>
      <right style="hair"/>
      <top style="hair"/>
      <bottom style="hair"/>
    </border>
    <border>
      <left style="hair"/>
      <right style="hair"/>
      <top style="hair"/>
      <bottom style="hair"/>
    </border>
    <border>
      <left style="hair"/>
      <right style="hair"/>
      <top/>
      <bottom style="hair"/>
    </border>
    <border>
      <left style="medium"/>
      <right/>
      <top style="medium"/>
      <bottom style="hair"/>
    </border>
    <border>
      <left/>
      <right style="hair"/>
      <top style="medium"/>
      <bottom style="hair"/>
    </border>
    <border>
      <left style="medium"/>
      <right/>
      <top style="hair"/>
      <bottom style="medium"/>
    </border>
    <border>
      <left/>
      <right style="hair"/>
      <top style="hair"/>
      <bottom style="medium"/>
    </border>
    <border>
      <left style="hair"/>
      <right style="hair"/>
      <top style="hair"/>
      <bottom style="medium"/>
    </border>
    <border>
      <left style="medium"/>
      <right/>
      <top style="medium"/>
      <bottom style="medium"/>
    </border>
    <border>
      <left/>
      <right style="hair"/>
      <top style="medium"/>
      <bottom style="medium"/>
    </border>
    <border>
      <left style="hair"/>
      <right style="medium"/>
      <top/>
      <bottom style="hair"/>
    </border>
    <border>
      <left style="hair"/>
      <right/>
      <top style="medium"/>
      <bottom style="medium"/>
    </border>
    <border>
      <left/>
      <right style="medium"/>
      <top style="hair"/>
      <bottom style="hair"/>
    </border>
    <border>
      <left style="hair"/>
      <right/>
      <top style="hair"/>
      <bottom style="hair"/>
    </border>
    <border>
      <left style="medium"/>
      <right/>
      <top/>
      <bottom/>
    </border>
    <border>
      <left style="medium"/>
      <right style="hair"/>
      <top/>
      <bottom style="hair"/>
    </border>
    <border>
      <left style="medium"/>
      <right style="hair"/>
      <top style="hair"/>
      <bottom style="hair"/>
    </border>
    <border>
      <left style="hair"/>
      <right style="medium"/>
      <top style="hair"/>
      <bottom style="hair"/>
    </border>
    <border>
      <left style="hair"/>
      <right style="hair"/>
      <top style="hair"/>
      <bottom/>
    </border>
    <border>
      <left style="hair"/>
      <right style="medium"/>
      <top style="hair"/>
      <bottom/>
    </border>
    <border>
      <left/>
      <right/>
      <top style="thin"/>
      <bottom/>
    </border>
    <border>
      <left/>
      <right/>
      <top/>
      <bottom style="thin"/>
    </border>
    <border>
      <left style="thin"/>
      <right style="thin"/>
      <top style="thin"/>
      <bottom style="thin"/>
    </border>
    <border>
      <left/>
      <right/>
      <top/>
      <bottom style="dashed"/>
    </border>
    <border>
      <left style="thin"/>
      <right/>
      <top style="thin"/>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style="medium"/>
    </border>
    <border>
      <left/>
      <right style="medium"/>
      <top/>
      <bottom style="medium"/>
    </border>
    <border>
      <left/>
      <right style="medium"/>
      <top/>
      <bottom/>
    </border>
    <border>
      <left style="double"/>
      <right/>
      <top style="double"/>
      <bottom style="double"/>
    </border>
    <border>
      <left/>
      <right style="double"/>
      <top style="double"/>
      <bottom style="double"/>
    </border>
    <border>
      <left style="medium"/>
      <right/>
      <top/>
      <bottom style="hair"/>
    </border>
    <border>
      <left style="medium"/>
      <right/>
      <top style="medium"/>
      <bottom/>
    </border>
    <border>
      <left/>
      <right style="hair"/>
      <top/>
      <bottom style="hair"/>
    </border>
    <border>
      <left style="hair"/>
      <right/>
      <top style="hair"/>
      <bottom/>
    </border>
    <border>
      <left style="hair"/>
      <right/>
      <top/>
      <bottom style="hair"/>
    </border>
    <border>
      <left style="medium"/>
      <right style="hair"/>
      <top style="hair"/>
      <bottom style="medium"/>
    </border>
    <border>
      <left style="hair"/>
      <right style="medium"/>
      <top style="medium"/>
      <bottom style="hair"/>
    </border>
    <border>
      <left style="hair"/>
      <right style="medium"/>
      <top style="hair"/>
      <bottom style="medium"/>
    </border>
    <border>
      <left/>
      <right style="hair"/>
      <top style="hair"/>
      <bottom/>
    </border>
    <border>
      <left/>
      <right style="hair"/>
      <top/>
      <bottom/>
    </border>
    <border>
      <left style="medium"/>
      <right style="medium"/>
      <top style="medium"/>
      <bottom/>
    </border>
    <border>
      <left style="medium"/>
      <right style="medium"/>
      <top style="thin"/>
      <bottom style="thin"/>
    </border>
    <border>
      <left style="medium"/>
      <right style="medium"/>
      <top/>
      <bottom style="medium"/>
    </border>
    <border>
      <left/>
      <right/>
      <top/>
      <bottom style="medium"/>
    </border>
    <border>
      <left style="hair"/>
      <right/>
      <top style="medium"/>
      <bottom style="hair"/>
    </border>
    <border>
      <left style="hair"/>
      <right/>
      <top style="hair"/>
      <bottom style="medium"/>
    </border>
    <border>
      <left style="hair"/>
      <right style="medium"/>
      <top style="medium"/>
      <bottom/>
    </border>
    <border>
      <left style="hair"/>
      <right style="medium"/>
      <top/>
      <bottom style="medium"/>
    </border>
    <border>
      <left style="medium"/>
      <right style="medium"/>
      <top style="medium"/>
      <bottom style="thin"/>
    </border>
    <border>
      <left style="medium"/>
      <right style="medium"/>
      <top style="medium"/>
      <bottom style="medium"/>
    </border>
    <border>
      <left style="medium"/>
      <right style="hair"/>
      <top style="medium"/>
      <bottom style="hair"/>
    </border>
    <border>
      <left/>
      <right/>
      <top style="medium"/>
      <bottom/>
    </border>
    <border>
      <left/>
      <right style="medium"/>
      <top style="medium"/>
      <bottom/>
    </border>
    <border>
      <left style="medium"/>
      <right/>
      <top style="medium"/>
      <bottom style="thin"/>
    </border>
    <border>
      <left style="medium"/>
      <right/>
      <top style="thin"/>
      <bottom style="thin"/>
    </border>
    <border>
      <left style="medium"/>
      <right style="medium"/>
      <top style="thin"/>
      <bottom/>
    </border>
    <border>
      <left/>
      <right style="medium"/>
      <top style="thin"/>
      <bottom style="thin"/>
    </border>
    <border>
      <left style="hair"/>
      <right style="hair"/>
      <top>
        <color indexed="63"/>
      </top>
      <bottom>
        <color indexed="63"/>
      </bottom>
    </border>
    <border>
      <left/>
      <right/>
      <top style="medium"/>
      <bottom style="medium"/>
    </border>
    <border>
      <left/>
      <right style="medium"/>
      <top style="medium"/>
      <bottom style="medium"/>
    </border>
    <border>
      <left/>
      <right/>
      <top style="medium"/>
      <bottom style="hair"/>
    </border>
    <border>
      <left/>
      <right style="medium"/>
      <top style="medium"/>
      <bottom style="hair"/>
    </border>
    <border>
      <left/>
      <right/>
      <top style="hair"/>
      <bottom>
        <color indexed="63"/>
      </bottom>
    </border>
    <border>
      <left/>
      <right/>
      <top style="hair"/>
      <bottom style="medium"/>
    </border>
    <border>
      <left/>
      <right style="medium"/>
      <top style="hair"/>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right/>
      <top style="thin"/>
      <bottom style="thin"/>
    </border>
    <border>
      <left style="hair"/>
      <right style="hair"/>
      <top/>
      <bottom style="medium"/>
    </border>
    <border>
      <left style="medium"/>
      <right style="hair"/>
      <top style="hair"/>
      <bottom/>
    </border>
    <border>
      <left style="medium"/>
      <right style="hair"/>
      <top/>
      <bottom style="medium"/>
    </border>
    <border>
      <left style="hair"/>
      <right/>
      <top/>
      <bottom style="medium"/>
    </border>
    <border>
      <left/>
      <right style="hair"/>
      <top/>
      <bottom style="medium"/>
    </border>
    <border>
      <left/>
      <right/>
      <top/>
      <bottom style="hair"/>
    </border>
    <border>
      <left/>
      <right style="thin"/>
      <top style="thin"/>
      <bottom style="thin"/>
    </border>
    <border>
      <left/>
      <right/>
      <top style="double"/>
      <bottom style="double"/>
    </border>
    <border>
      <left style="hair"/>
      <right style="medium"/>
      <top/>
      <bottom>
        <color indexed="63"/>
      </bottom>
    </border>
    <border>
      <left style="medium"/>
      <right style="hair"/>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168" fontId="0" fillId="33" borderId="9" applyFont="0" applyAlignment="0">
      <protection locked="0"/>
    </xf>
    <xf numFmtId="168" fontId="0" fillId="34" borderId="9" applyNumberFormat="0" applyFont="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76" fillId="0" borderId="0" applyNumberFormat="0" applyFill="0" applyBorder="0" applyAlignment="0" applyProtection="0"/>
  </cellStyleXfs>
  <cellXfs count="893">
    <xf numFmtId="0" fontId="0" fillId="0" borderId="0" xfId="0" applyAlignment="1">
      <alignment/>
    </xf>
    <xf numFmtId="0" fontId="2" fillId="0" borderId="0" xfId="0" applyFont="1" applyAlignment="1">
      <alignment/>
    </xf>
    <xf numFmtId="0" fontId="11" fillId="0" borderId="0" xfId="0" applyFont="1" applyAlignment="1">
      <alignment/>
    </xf>
    <xf numFmtId="0" fontId="14" fillId="0" borderId="0" xfId="0" applyFont="1" applyBorder="1" applyAlignment="1">
      <alignment/>
    </xf>
    <xf numFmtId="0" fontId="11" fillId="0" borderId="0" xfId="0" applyFont="1" applyAlignment="1">
      <alignment horizontal="left"/>
    </xf>
    <xf numFmtId="0" fontId="6" fillId="0" borderId="0" xfId="0" applyFont="1" applyAlignment="1">
      <alignment horizontal="right"/>
    </xf>
    <xf numFmtId="0" fontId="15" fillId="0" borderId="0" xfId="0" applyFont="1" applyAlignment="1">
      <alignment/>
    </xf>
    <xf numFmtId="0" fontId="15" fillId="0" borderId="0" xfId="0" applyFont="1" applyBorder="1" applyAlignment="1">
      <alignment/>
    </xf>
    <xf numFmtId="0" fontId="11" fillId="0" borderId="0" xfId="0" applyFont="1" applyBorder="1" applyAlignment="1">
      <alignment/>
    </xf>
    <xf numFmtId="0" fontId="12" fillId="0" borderId="0" xfId="0" applyFont="1" applyBorder="1" applyAlignment="1">
      <alignment/>
    </xf>
    <xf numFmtId="0" fontId="15" fillId="0" borderId="0" xfId="0" applyFont="1" applyBorder="1" applyAlignment="1">
      <alignment horizontal="center"/>
    </xf>
    <xf numFmtId="0" fontId="15" fillId="0" borderId="0" xfId="0" applyFont="1" applyAlignment="1">
      <alignment horizontal="center"/>
    </xf>
    <xf numFmtId="0" fontId="14" fillId="0" borderId="0" xfId="0" applyFont="1" applyAlignment="1">
      <alignment/>
    </xf>
    <xf numFmtId="0" fontId="21" fillId="35" borderId="0" xfId="0" applyFont="1" applyFill="1" applyBorder="1" applyAlignment="1">
      <alignment horizontal="left" vertical="center"/>
    </xf>
    <xf numFmtId="0" fontId="22" fillId="35" borderId="0" xfId="0" applyFont="1" applyFill="1" applyBorder="1" applyAlignment="1">
      <alignment horizontal="center"/>
    </xf>
    <xf numFmtId="0" fontId="2" fillId="35" borderId="0" xfId="0" applyFont="1" applyFill="1" applyBorder="1" applyAlignment="1">
      <alignment/>
    </xf>
    <xf numFmtId="5" fontId="21" fillId="35" borderId="0" xfId="0" applyNumberFormat="1" applyFont="1" applyFill="1" applyBorder="1" applyAlignment="1">
      <alignment horizontal="right"/>
    </xf>
    <xf numFmtId="0" fontId="8" fillId="35" borderId="0" xfId="0" applyFont="1" applyFill="1" applyBorder="1" applyAlignment="1">
      <alignment horizontal="center"/>
    </xf>
    <xf numFmtId="0" fontId="0" fillId="35" borderId="0" xfId="0" applyFill="1" applyBorder="1" applyAlignment="1">
      <alignment/>
    </xf>
    <xf numFmtId="0" fontId="9" fillId="35" borderId="0" xfId="0" applyFont="1" applyFill="1" applyBorder="1" applyAlignment="1">
      <alignment horizontal="left" vertical="center"/>
    </xf>
    <xf numFmtId="0" fontId="19" fillId="35" borderId="0" xfId="0" applyFont="1" applyFill="1" applyBorder="1" applyAlignment="1">
      <alignment horizontal="left" vertical="center"/>
    </xf>
    <xf numFmtId="0" fontId="21" fillId="35" borderId="0" xfId="0" applyFont="1" applyFill="1" applyBorder="1" applyAlignment="1">
      <alignment horizontal="center" vertical="center"/>
    </xf>
    <xf numFmtId="0" fontId="2" fillId="35" borderId="0" xfId="0" applyFont="1" applyFill="1" applyBorder="1" applyAlignment="1">
      <alignment vertical="center"/>
    </xf>
    <xf numFmtId="0" fontId="0" fillId="35" borderId="0" xfId="0" applyFill="1" applyBorder="1" applyAlignment="1">
      <alignment vertical="center"/>
    </xf>
    <xf numFmtId="6" fontId="19" fillId="35" borderId="0" xfId="0" applyNumberFormat="1" applyFont="1" applyFill="1" applyBorder="1" applyAlignment="1">
      <alignment vertical="center"/>
    </xf>
    <xf numFmtId="0" fontId="19" fillId="35" borderId="0" xfId="0" applyFont="1" applyFill="1" applyBorder="1" applyAlignment="1">
      <alignment vertical="center"/>
    </xf>
    <xf numFmtId="0" fontId="10" fillId="35" borderId="0" xfId="0" applyFont="1" applyFill="1" applyBorder="1" applyAlignment="1">
      <alignment horizontal="left" vertical="center"/>
    </xf>
    <xf numFmtId="0" fontId="3" fillId="35" borderId="0" xfId="0" applyFont="1" applyFill="1" applyBorder="1" applyAlignment="1">
      <alignment horizontal="left" vertical="center"/>
    </xf>
    <xf numFmtId="0" fontId="3" fillId="35" borderId="0" xfId="0" applyFont="1" applyFill="1" applyBorder="1" applyAlignment="1">
      <alignment horizontal="center" vertical="top"/>
    </xf>
    <xf numFmtId="0" fontId="2" fillId="35" borderId="0" xfId="0" applyFont="1" applyFill="1" applyAlignment="1">
      <alignment/>
    </xf>
    <xf numFmtId="0" fontId="3" fillId="35" borderId="11" xfId="0" applyFont="1" applyFill="1" applyBorder="1" applyAlignment="1">
      <alignment horizontal="left"/>
    </xf>
    <xf numFmtId="0" fontId="3" fillId="35" borderId="12" xfId="0" applyFont="1" applyFill="1" applyBorder="1" applyAlignment="1">
      <alignment horizontal="center"/>
    </xf>
    <xf numFmtId="0" fontId="3" fillId="35" borderId="12" xfId="0" applyFont="1" applyFill="1" applyBorder="1" applyAlignment="1">
      <alignment horizontal="center" wrapText="1"/>
    </xf>
    <xf numFmtId="0" fontId="3" fillId="35" borderId="13" xfId="0" applyFont="1" applyFill="1" applyBorder="1" applyAlignment="1">
      <alignment horizontal="center" wrapText="1"/>
    </xf>
    <xf numFmtId="6" fontId="0" fillId="35" borderId="14" xfId="0" applyNumberFormat="1" applyFont="1" applyFill="1" applyBorder="1" applyAlignment="1">
      <alignment horizontal="right"/>
    </xf>
    <xf numFmtId="0" fontId="0" fillId="35" borderId="15" xfId="0" applyFont="1" applyFill="1" applyBorder="1" applyAlignment="1">
      <alignment/>
    </xf>
    <xf numFmtId="0" fontId="0" fillId="35" borderId="16" xfId="0" applyFont="1" applyFill="1" applyBorder="1" applyAlignment="1">
      <alignment/>
    </xf>
    <xf numFmtId="6" fontId="0" fillId="35" borderId="17" xfId="0" applyNumberFormat="1" applyFont="1" applyFill="1" applyBorder="1" applyAlignment="1">
      <alignment horizontal="right"/>
    </xf>
    <xf numFmtId="6" fontId="0" fillId="35" borderId="18" xfId="0" applyNumberFormat="1" applyFont="1" applyFill="1" applyBorder="1" applyAlignment="1">
      <alignment horizontal="right"/>
    </xf>
    <xf numFmtId="0" fontId="3" fillId="35" borderId="19" xfId="0" applyFont="1" applyFill="1" applyBorder="1" applyAlignment="1">
      <alignment/>
    </xf>
    <xf numFmtId="0" fontId="3" fillId="35" borderId="20" xfId="0" applyFont="1" applyFill="1" applyBorder="1" applyAlignment="1">
      <alignment/>
    </xf>
    <xf numFmtId="6" fontId="0" fillId="35" borderId="14" xfId="0" applyNumberFormat="1" applyFont="1" applyFill="1" applyBorder="1" applyAlignment="1">
      <alignment/>
    </xf>
    <xf numFmtId="0" fontId="3" fillId="35" borderId="15" xfId="0" applyFont="1" applyFill="1" applyBorder="1" applyAlignment="1">
      <alignment/>
    </xf>
    <xf numFmtId="0" fontId="3" fillId="35" borderId="16" xfId="0" applyFont="1" applyFill="1" applyBorder="1" applyAlignment="1">
      <alignment/>
    </xf>
    <xf numFmtId="0" fontId="3" fillId="35" borderId="21" xfId="0" applyFont="1" applyFill="1" applyBorder="1" applyAlignment="1">
      <alignment/>
    </xf>
    <xf numFmtId="0" fontId="3" fillId="35" borderId="22" xfId="0" applyFont="1" applyFill="1" applyBorder="1" applyAlignment="1">
      <alignment/>
    </xf>
    <xf numFmtId="6" fontId="0" fillId="35" borderId="23" xfId="0" applyNumberFormat="1" applyFont="1" applyFill="1" applyBorder="1" applyAlignment="1">
      <alignment horizontal="right"/>
    </xf>
    <xf numFmtId="0" fontId="5" fillId="35" borderId="0" xfId="0" applyFont="1" applyFill="1" applyBorder="1" applyAlignment="1">
      <alignment/>
    </xf>
    <xf numFmtId="0" fontId="3" fillId="35" borderId="24" xfId="0" applyFont="1" applyFill="1" applyBorder="1" applyAlignment="1">
      <alignment/>
    </xf>
    <xf numFmtId="0" fontId="3" fillId="35" borderId="25" xfId="0" applyFont="1" applyFill="1" applyBorder="1" applyAlignment="1">
      <alignment/>
    </xf>
    <xf numFmtId="6" fontId="0" fillId="35" borderId="12" xfId="0" applyNumberFormat="1" applyFont="1" applyFill="1" applyBorder="1" applyAlignment="1">
      <alignment/>
    </xf>
    <xf numFmtId="6" fontId="0" fillId="35" borderId="12" xfId="0" applyNumberFormat="1" applyFont="1" applyFill="1" applyBorder="1" applyAlignment="1">
      <alignment horizontal="right"/>
    </xf>
    <xf numFmtId="0" fontId="22" fillId="35" borderId="0" xfId="0" applyFont="1" applyFill="1" applyBorder="1" applyAlignment="1">
      <alignment horizontal="left"/>
    </xf>
    <xf numFmtId="165" fontId="24" fillId="35" borderId="12" xfId="0" applyNumberFormat="1" applyFont="1" applyFill="1" applyBorder="1" applyAlignment="1">
      <alignment horizontal="center"/>
    </xf>
    <xf numFmtId="5" fontId="24" fillId="35" borderId="13" xfId="0" applyNumberFormat="1" applyFont="1" applyFill="1" applyBorder="1" applyAlignment="1">
      <alignment horizontal="center"/>
    </xf>
    <xf numFmtId="0" fontId="7" fillId="35" borderId="0" xfId="0" applyFont="1" applyFill="1" applyBorder="1" applyAlignment="1">
      <alignment/>
    </xf>
    <xf numFmtId="5" fontId="0" fillId="35" borderId="26" xfId="44" applyNumberFormat="1" applyFont="1" applyFill="1" applyBorder="1" applyAlignment="1">
      <alignment horizontal="right"/>
    </xf>
    <xf numFmtId="0" fontId="0" fillId="35" borderId="15" xfId="0" applyFont="1" applyFill="1" applyBorder="1" applyAlignment="1">
      <alignment horizontal="left"/>
    </xf>
    <xf numFmtId="5" fontId="0" fillId="35" borderId="13" xfId="0" applyNumberFormat="1" applyFont="1" applyFill="1" applyBorder="1" applyAlignment="1">
      <alignment horizontal="right"/>
    </xf>
    <xf numFmtId="4" fontId="7" fillId="35" borderId="0" xfId="0" applyNumberFormat="1" applyFont="1" applyFill="1" applyBorder="1" applyAlignment="1">
      <alignment/>
    </xf>
    <xf numFmtId="165" fontId="7" fillId="35" borderId="0" xfId="0" applyNumberFormat="1" applyFont="1" applyFill="1" applyBorder="1" applyAlignment="1">
      <alignment/>
    </xf>
    <xf numFmtId="165" fontId="7" fillId="35" borderId="0" xfId="0" applyNumberFormat="1" applyFont="1" applyFill="1" applyBorder="1" applyAlignment="1">
      <alignment horizontal="right"/>
    </xf>
    <xf numFmtId="5" fontId="7" fillId="35" borderId="0" xfId="0" applyNumberFormat="1" applyFont="1" applyFill="1" applyBorder="1" applyAlignment="1">
      <alignment/>
    </xf>
    <xf numFmtId="165" fontId="24" fillId="35" borderId="27" xfId="0" applyNumberFormat="1" applyFont="1" applyFill="1" applyBorder="1" applyAlignment="1">
      <alignment horizontal="center"/>
    </xf>
    <xf numFmtId="4" fontId="0" fillId="36" borderId="12" xfId="0" applyNumberFormat="1" applyFont="1" applyFill="1" applyBorder="1" applyAlignment="1">
      <alignment horizontal="right"/>
    </xf>
    <xf numFmtId="165" fontId="0" fillId="36" borderId="12" xfId="0" applyNumberFormat="1" applyFont="1" applyFill="1" applyBorder="1" applyAlignment="1">
      <alignment horizontal="right"/>
    </xf>
    <xf numFmtId="165" fontId="0" fillId="36" borderId="27" xfId="0" applyNumberFormat="1" applyFont="1" applyFill="1" applyBorder="1" applyAlignment="1">
      <alignment horizontal="right"/>
    </xf>
    <xf numFmtId="165" fontId="0" fillId="36" borderId="17" xfId="44" applyNumberFormat="1" applyFont="1" applyFill="1" applyBorder="1" applyAlignment="1">
      <alignment horizontal="right"/>
    </xf>
    <xf numFmtId="0" fontId="0" fillId="35" borderId="9" xfId="0" applyFont="1" applyFill="1" applyBorder="1" applyAlignment="1">
      <alignment horizontal="left"/>
    </xf>
    <xf numFmtId="5" fontId="0" fillId="35" borderId="28" xfId="44" applyNumberFormat="1" applyFont="1" applyFill="1" applyBorder="1" applyAlignment="1">
      <alignment horizontal="right"/>
    </xf>
    <xf numFmtId="4" fontId="0" fillId="35" borderId="9" xfId="0" applyNumberFormat="1" applyFont="1" applyFill="1" applyBorder="1" applyAlignment="1">
      <alignment horizontal="right"/>
    </xf>
    <xf numFmtId="165" fontId="0" fillId="35" borderId="9" xfId="44" applyNumberFormat="1" applyFont="1" applyFill="1" applyBorder="1" applyAlignment="1">
      <alignment horizontal="right"/>
    </xf>
    <xf numFmtId="0" fontId="7" fillId="35" borderId="29" xfId="0" applyFont="1" applyFill="1" applyBorder="1" applyAlignment="1">
      <alignment/>
    </xf>
    <xf numFmtId="0" fontId="0" fillId="35" borderId="0" xfId="0" applyFont="1" applyFill="1" applyBorder="1" applyAlignment="1">
      <alignment/>
    </xf>
    <xf numFmtId="0" fontId="18" fillId="35" borderId="0" xfId="0" applyFont="1" applyFill="1" applyBorder="1" applyAlignment="1">
      <alignment horizontal="left" vertical="center"/>
    </xf>
    <xf numFmtId="0" fontId="9" fillId="35" borderId="0" xfId="0" applyFont="1" applyFill="1" applyBorder="1" applyAlignment="1">
      <alignment horizontal="right" vertical="center"/>
    </xf>
    <xf numFmtId="0" fontId="9" fillId="35" borderId="0" xfId="0" applyFont="1" applyFill="1" applyBorder="1" applyAlignment="1">
      <alignment horizontal="center" vertical="center"/>
    </xf>
    <xf numFmtId="2" fontId="19" fillId="35" borderId="0" xfId="0" applyNumberFormat="1" applyFont="1" applyFill="1" applyBorder="1" applyAlignment="1">
      <alignment horizontal="center" vertical="center"/>
    </xf>
    <xf numFmtId="2" fontId="9" fillId="35" borderId="0" xfId="0" applyNumberFormat="1" applyFont="1" applyFill="1" applyBorder="1" applyAlignment="1">
      <alignment horizontal="left" vertical="center"/>
    </xf>
    <xf numFmtId="6" fontId="18" fillId="35" borderId="0" xfId="0" applyNumberFormat="1" applyFont="1" applyFill="1" applyBorder="1" applyAlignment="1">
      <alignment vertical="center"/>
    </xf>
    <xf numFmtId="0" fontId="18" fillId="35" borderId="0" xfId="0" applyFont="1" applyFill="1" applyBorder="1" applyAlignment="1">
      <alignment vertical="center"/>
    </xf>
    <xf numFmtId="0" fontId="7" fillId="35" borderId="0" xfId="0" applyFont="1" applyFill="1" applyBorder="1" applyAlignment="1">
      <alignment horizontal="center" vertical="center"/>
    </xf>
    <xf numFmtId="0" fontId="10" fillId="35" borderId="12" xfId="0" applyFont="1" applyFill="1" applyBorder="1" applyAlignment="1">
      <alignment horizontal="center" vertical="center"/>
    </xf>
    <xf numFmtId="0" fontId="10"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0" xfId="0" applyFont="1" applyFill="1" applyBorder="1" applyAlignment="1">
      <alignment horizontal="center" vertical="center"/>
    </xf>
    <xf numFmtId="2" fontId="0" fillId="35" borderId="12" xfId="0" applyNumberFormat="1" applyFont="1" applyFill="1" applyBorder="1" applyAlignment="1">
      <alignment horizontal="right" wrapText="1"/>
    </xf>
    <xf numFmtId="6" fontId="0" fillId="35" borderId="12" xfId="0" applyNumberFormat="1" applyFill="1" applyBorder="1" applyAlignment="1">
      <alignment horizontal="right" wrapText="1"/>
    </xf>
    <xf numFmtId="0" fontId="20" fillId="35" borderId="13" xfId="0" applyFont="1" applyFill="1" applyBorder="1" applyAlignment="1">
      <alignment wrapText="1"/>
    </xf>
    <xf numFmtId="2" fontId="0" fillId="35" borderId="0" xfId="0" applyNumberFormat="1" applyFont="1" applyFill="1" applyBorder="1" applyAlignment="1">
      <alignment/>
    </xf>
    <xf numFmtId="6" fontId="0" fillId="35" borderId="0" xfId="0" applyNumberFormat="1" applyFill="1" applyBorder="1" applyAlignment="1">
      <alignment/>
    </xf>
    <xf numFmtId="2" fontId="0" fillId="35" borderId="0" xfId="0" applyNumberFormat="1" applyFont="1" applyFill="1" applyBorder="1" applyAlignment="1">
      <alignment/>
    </xf>
    <xf numFmtId="2" fontId="0" fillId="35" borderId="0" xfId="0" applyNumberFormat="1" applyFill="1" applyBorder="1" applyAlignment="1">
      <alignment/>
    </xf>
    <xf numFmtId="0" fontId="21" fillId="35" borderId="0" xfId="0" applyFont="1" applyFill="1" applyBorder="1" applyAlignment="1">
      <alignment horizontal="right" vertical="center"/>
    </xf>
    <xf numFmtId="2" fontId="21" fillId="35" borderId="0" xfId="0" applyNumberFormat="1" applyFont="1" applyFill="1" applyBorder="1" applyAlignment="1">
      <alignment horizontal="left"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6" fontId="0" fillId="35" borderId="12" xfId="0" applyNumberFormat="1" applyFill="1" applyBorder="1" applyAlignment="1">
      <alignment wrapText="1"/>
    </xf>
    <xf numFmtId="2" fontId="0" fillId="35" borderId="0" xfId="0" applyNumberFormat="1" applyFont="1" applyFill="1" applyBorder="1" applyAlignment="1">
      <alignment/>
    </xf>
    <xf numFmtId="0" fontId="9" fillId="35" borderId="0" xfId="0" applyFont="1" applyFill="1" applyBorder="1" applyAlignment="1" applyProtection="1">
      <alignment horizontal="left" vertical="center"/>
      <protection/>
    </xf>
    <xf numFmtId="0" fontId="18"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right" vertical="center"/>
      <protection/>
    </xf>
    <xf numFmtId="0" fontId="0" fillId="35" borderId="0" xfId="0" applyFill="1" applyBorder="1" applyAlignment="1" applyProtection="1">
      <alignment vertical="center"/>
      <protection/>
    </xf>
    <xf numFmtId="0" fontId="9" fillId="35" borderId="0" xfId="0" applyFont="1" applyFill="1" applyBorder="1" applyAlignment="1" applyProtection="1">
      <alignment horizontal="center" vertical="center"/>
      <protection/>
    </xf>
    <xf numFmtId="2" fontId="19" fillId="35" borderId="0" xfId="0" applyNumberFormat="1" applyFont="1" applyFill="1" applyBorder="1" applyAlignment="1" applyProtection="1">
      <alignment horizontal="center" vertical="center"/>
      <protection/>
    </xf>
    <xf numFmtId="2" fontId="9" fillId="35" borderId="0" xfId="0" applyNumberFormat="1" applyFont="1" applyFill="1" applyBorder="1" applyAlignment="1" applyProtection="1">
      <alignment horizontal="left" vertical="center"/>
      <protection/>
    </xf>
    <xf numFmtId="6" fontId="18" fillId="35" borderId="0" xfId="0" applyNumberFormat="1" applyFont="1" applyFill="1" applyBorder="1" applyAlignment="1" applyProtection="1">
      <alignment vertical="center"/>
      <protection/>
    </xf>
    <xf numFmtId="0" fontId="18" fillId="35" borderId="0" xfId="0" applyFont="1" applyFill="1" applyBorder="1" applyAlignment="1" applyProtection="1">
      <alignment vertical="center"/>
      <protection/>
    </xf>
    <xf numFmtId="0" fontId="10" fillId="35" borderId="0" xfId="0" applyFont="1" applyFill="1" applyBorder="1" applyAlignment="1" applyProtection="1">
      <alignment horizontal="left" vertical="center"/>
      <protection/>
    </xf>
    <xf numFmtId="0" fontId="7" fillId="35" borderId="0"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xf>
    <xf numFmtId="0" fontId="10" fillId="35" borderId="12" xfId="0" applyFont="1" applyFill="1" applyBorder="1" applyAlignment="1" applyProtection="1">
      <alignment horizontal="center" vertical="center"/>
      <protection/>
    </xf>
    <xf numFmtId="0" fontId="10" fillId="35" borderId="12" xfId="0" applyFont="1" applyFill="1" applyBorder="1" applyAlignment="1" applyProtection="1">
      <alignment horizontal="center" vertical="center"/>
      <protection/>
    </xf>
    <xf numFmtId="0" fontId="10" fillId="35" borderId="30" xfId="0" applyFont="1" applyFill="1" applyBorder="1" applyAlignment="1" applyProtection="1">
      <alignment horizontal="center" vertical="center"/>
      <protection/>
    </xf>
    <xf numFmtId="0" fontId="10" fillId="35" borderId="0" xfId="0" applyFont="1" applyFill="1" applyBorder="1" applyAlignment="1" applyProtection="1">
      <alignment horizontal="center" vertical="center"/>
      <protection/>
    </xf>
    <xf numFmtId="0" fontId="0" fillId="35" borderId="31" xfId="0" applyFont="1" applyFill="1" applyBorder="1" applyAlignment="1" applyProtection="1">
      <alignment horizontal="left" vertical="center" wrapText="1"/>
      <protection/>
    </xf>
    <xf numFmtId="2" fontId="0" fillId="35" borderId="18" xfId="0" applyNumberFormat="1" applyFont="1" applyFill="1" applyBorder="1" applyAlignment="1" applyProtection="1">
      <alignment horizontal="right" vertical="center" wrapText="1"/>
      <protection/>
    </xf>
    <xf numFmtId="6" fontId="0" fillId="35" borderId="18" xfId="0" applyNumberFormat="1" applyFill="1" applyBorder="1" applyAlignment="1" applyProtection="1">
      <alignment vertical="center" wrapText="1"/>
      <protection/>
    </xf>
    <xf numFmtId="0" fontId="20" fillId="35" borderId="30" xfId="0" applyFont="1" applyFill="1" applyBorder="1" applyAlignment="1" applyProtection="1">
      <alignment wrapText="1"/>
      <protection/>
    </xf>
    <xf numFmtId="0" fontId="0" fillId="35" borderId="0" xfId="0" applyFill="1" applyBorder="1" applyAlignment="1" applyProtection="1">
      <alignment/>
      <protection/>
    </xf>
    <xf numFmtId="0" fontId="0" fillId="35" borderId="32" xfId="0" applyFont="1" applyFill="1" applyBorder="1" applyAlignment="1" applyProtection="1">
      <alignment horizontal="left" vertical="center" wrapText="1"/>
      <protection/>
    </xf>
    <xf numFmtId="0" fontId="10" fillId="35" borderId="11" xfId="0" applyFont="1" applyFill="1" applyBorder="1" applyAlignment="1" applyProtection="1">
      <alignment horizontal="left" wrapText="1"/>
      <protection/>
    </xf>
    <xf numFmtId="2" fontId="0" fillId="35" borderId="12" xfId="0" applyNumberFormat="1" applyFont="1" applyFill="1" applyBorder="1" applyAlignment="1" applyProtection="1">
      <alignment horizontal="right" wrapText="1"/>
      <protection/>
    </xf>
    <xf numFmtId="6" fontId="0" fillId="35" borderId="12" xfId="0" applyNumberFormat="1" applyFill="1" applyBorder="1" applyAlignment="1" applyProtection="1">
      <alignment wrapText="1"/>
      <protection/>
    </xf>
    <xf numFmtId="0" fontId="0" fillId="35" borderId="0" xfId="0" applyFont="1" applyFill="1" applyBorder="1" applyAlignment="1" applyProtection="1">
      <alignment/>
      <protection/>
    </xf>
    <xf numFmtId="2" fontId="0" fillId="35" borderId="0" xfId="0" applyNumberFormat="1" applyFont="1" applyFill="1" applyBorder="1" applyAlignment="1" applyProtection="1">
      <alignment/>
      <protection/>
    </xf>
    <xf numFmtId="6" fontId="0" fillId="35" borderId="0" xfId="0" applyNumberFormat="1" applyFill="1" applyBorder="1" applyAlignment="1" applyProtection="1">
      <alignment/>
      <protection/>
    </xf>
    <xf numFmtId="2" fontId="0" fillId="35" borderId="0" xfId="0" applyNumberFormat="1" applyFont="1" applyFill="1" applyBorder="1" applyAlignment="1" applyProtection="1">
      <alignment/>
      <protection/>
    </xf>
    <xf numFmtId="2" fontId="0" fillId="35" borderId="0" xfId="0" applyNumberFormat="1" applyFill="1" applyBorder="1" applyAlignment="1" applyProtection="1">
      <alignment/>
      <protection/>
    </xf>
    <xf numFmtId="0" fontId="10" fillId="35" borderId="13" xfId="0" applyFont="1" applyFill="1" applyBorder="1" applyAlignment="1" applyProtection="1">
      <alignment horizontal="center" vertical="center"/>
      <protection/>
    </xf>
    <xf numFmtId="0" fontId="20" fillId="35" borderId="13" xfId="0" applyFont="1" applyFill="1" applyBorder="1" applyAlignment="1" applyProtection="1">
      <alignment wrapText="1"/>
      <protection/>
    </xf>
    <xf numFmtId="6" fontId="0" fillId="0" borderId="18" xfId="0" applyNumberFormat="1" applyFill="1" applyBorder="1" applyAlignment="1" applyProtection="1">
      <alignment wrapText="1"/>
      <protection locked="0"/>
    </xf>
    <xf numFmtId="0" fontId="20" fillId="0" borderId="26" xfId="0" applyFont="1" applyFill="1" applyBorder="1" applyAlignment="1" applyProtection="1">
      <alignment wrapText="1"/>
      <protection locked="0"/>
    </xf>
    <xf numFmtId="6" fontId="0" fillId="0" borderId="17" xfId="0" applyNumberFormat="1" applyFill="1" applyBorder="1" applyAlignment="1" applyProtection="1">
      <alignment wrapText="1"/>
      <protection locked="0"/>
    </xf>
    <xf numFmtId="0" fontId="20" fillId="0" borderId="33" xfId="0" applyFont="1" applyFill="1" applyBorder="1" applyAlignment="1" applyProtection="1">
      <alignment wrapText="1"/>
      <protection locked="0"/>
    </xf>
    <xf numFmtId="6" fontId="0" fillId="0" borderId="34" xfId="0" applyNumberFormat="1" applyFill="1" applyBorder="1" applyAlignment="1" applyProtection="1">
      <alignment wrapText="1"/>
      <protection locked="0"/>
    </xf>
    <xf numFmtId="0" fontId="20" fillId="0" borderId="35" xfId="0" applyFont="1" applyFill="1" applyBorder="1" applyAlignment="1" applyProtection="1">
      <alignment wrapText="1"/>
      <protection locked="0"/>
    </xf>
    <xf numFmtId="2" fontId="0" fillId="0" borderId="18" xfId="0" applyNumberFormat="1" applyFont="1" applyFill="1" applyBorder="1" applyAlignment="1" applyProtection="1">
      <alignment horizontal="right" wrapText="1"/>
      <protection locked="0"/>
    </xf>
    <xf numFmtId="4" fontId="0" fillId="0" borderId="17" xfId="0" applyNumberFormat="1" applyFont="1" applyFill="1" applyBorder="1" applyAlignment="1" applyProtection="1">
      <alignment horizontal="right"/>
      <protection locked="0"/>
    </xf>
    <xf numFmtId="5" fontId="0" fillId="35" borderId="26" xfId="44" applyNumberFormat="1" applyFont="1" applyFill="1" applyBorder="1" applyAlignment="1" applyProtection="1">
      <alignment horizontal="right"/>
      <protection/>
    </xf>
    <xf numFmtId="0" fontId="21" fillId="0" borderId="0" xfId="0" applyFont="1" applyFill="1" applyBorder="1" applyAlignment="1">
      <alignment horizontal="left" vertical="center"/>
    </xf>
    <xf numFmtId="0" fontId="0" fillId="0" borderId="0" xfId="0" applyFill="1" applyBorder="1" applyAlignment="1">
      <alignment/>
    </xf>
    <xf numFmtId="0" fontId="22" fillId="0" borderId="0" xfId="0" applyFont="1" applyFill="1" applyBorder="1" applyAlignment="1">
      <alignment horizontal="left"/>
    </xf>
    <xf numFmtId="0" fontId="22" fillId="0" borderId="0" xfId="0" applyFont="1" applyFill="1" applyBorder="1" applyAlignment="1">
      <alignment horizontal="center"/>
    </xf>
    <xf numFmtId="5" fontId="21" fillId="0" borderId="0" xfId="0" applyNumberFormat="1" applyFont="1" applyFill="1" applyBorder="1" applyAlignment="1">
      <alignment horizontal="right"/>
    </xf>
    <xf numFmtId="0" fontId="8" fillId="0" borderId="0" xfId="0" applyFont="1" applyFill="1" applyBorder="1" applyAlignment="1">
      <alignment horizontal="center"/>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left"/>
      <protection/>
    </xf>
    <xf numFmtId="0" fontId="0" fillId="0" borderId="0" xfId="0" applyAlignment="1" applyProtection="1">
      <alignment/>
      <protection/>
    </xf>
    <xf numFmtId="0" fontId="2" fillId="0" borderId="0" xfId="0" applyFont="1" applyBorder="1" applyAlignment="1" applyProtection="1">
      <alignment horizontal="left"/>
      <protection/>
    </xf>
    <xf numFmtId="0" fontId="2" fillId="0" borderId="0" xfId="0" applyFont="1" applyAlignment="1" applyProtection="1">
      <alignment horizontal="center"/>
      <protection/>
    </xf>
    <xf numFmtId="0" fontId="2" fillId="0" borderId="0" xfId="0" applyFont="1" applyBorder="1" applyAlignment="1" applyProtection="1">
      <alignment horizontal="right"/>
      <protection/>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protection/>
    </xf>
    <xf numFmtId="0" fontId="2" fillId="0" borderId="36" xfId="0" applyFont="1" applyBorder="1" applyAlignment="1" applyProtection="1">
      <alignment/>
      <protection/>
    </xf>
    <xf numFmtId="0" fontId="25" fillId="0" borderId="0" xfId="0" applyFont="1" applyBorder="1" applyAlignment="1" applyProtection="1">
      <alignment/>
      <protection/>
    </xf>
    <xf numFmtId="0" fontId="2" fillId="0" borderId="37" xfId="0" applyFont="1" applyBorder="1" applyAlignment="1" applyProtection="1">
      <alignment/>
      <protection/>
    </xf>
    <xf numFmtId="165" fontId="2" fillId="0" borderId="0" xfId="0" applyNumberFormat="1" applyFont="1" applyBorder="1" applyAlignment="1" applyProtection="1">
      <alignment horizontal="left"/>
      <protection/>
    </xf>
    <xf numFmtId="0" fontId="14" fillId="0" borderId="38" xfId="0" applyFont="1" applyBorder="1" applyAlignment="1" applyProtection="1">
      <alignment horizontal="center" vertical="top"/>
      <protection/>
    </xf>
    <xf numFmtId="0" fontId="14" fillId="0" borderId="0" xfId="0" applyFont="1" applyBorder="1" applyAlignment="1" applyProtection="1">
      <alignment/>
      <protection/>
    </xf>
    <xf numFmtId="0" fontId="14" fillId="0" borderId="38" xfId="0" applyFont="1" applyBorder="1" applyAlignment="1" applyProtection="1">
      <alignment horizontal="center"/>
      <protection/>
    </xf>
    <xf numFmtId="0" fontId="2" fillId="0" borderId="39" xfId="0" applyFont="1" applyBorder="1" applyAlignment="1" applyProtection="1">
      <alignment/>
      <protection/>
    </xf>
    <xf numFmtId="0" fontId="0" fillId="0" borderId="0" xfId="0" applyAlignment="1" applyProtection="1">
      <alignment/>
      <protection/>
    </xf>
    <xf numFmtId="0" fontId="5" fillId="0" borderId="0" xfId="0" applyFont="1" applyAlignment="1" applyProtection="1">
      <alignment wrapText="1"/>
      <protection/>
    </xf>
    <xf numFmtId="0" fontId="0" fillId="0" borderId="0" xfId="0" applyAlignment="1">
      <alignment/>
    </xf>
    <xf numFmtId="0" fontId="12" fillId="0" borderId="38" xfId="0" applyFont="1" applyBorder="1" applyAlignment="1">
      <alignment horizontal="right"/>
    </xf>
    <xf numFmtId="0" fontId="12" fillId="0" borderId="40" xfId="0" applyFont="1" applyBorder="1" applyAlignment="1">
      <alignment horizontal="right"/>
    </xf>
    <xf numFmtId="0" fontId="12" fillId="0" borderId="0" xfId="0" applyFont="1" applyBorder="1" applyAlignment="1">
      <alignment horizontal="right"/>
    </xf>
    <xf numFmtId="0" fontId="12" fillId="0" borderId="37" xfId="0" applyFont="1" applyBorder="1" applyAlignment="1">
      <alignment horizontal="right"/>
    </xf>
    <xf numFmtId="4" fontId="0" fillId="35" borderId="18" xfId="0" applyNumberFormat="1" applyFont="1" applyFill="1" applyBorder="1" applyAlignment="1" applyProtection="1">
      <alignment horizontal="right"/>
      <protection/>
    </xf>
    <xf numFmtId="0" fontId="0" fillId="0" borderId="0" xfId="0" applyFont="1" applyBorder="1" applyAlignment="1">
      <alignment horizontal="left"/>
    </xf>
    <xf numFmtId="0" fontId="0" fillId="0" borderId="0" xfId="0" applyBorder="1" applyAlignment="1">
      <alignment/>
    </xf>
    <xf numFmtId="0" fontId="0" fillId="0" borderId="0" xfId="0" applyBorder="1" applyAlignment="1">
      <alignment/>
    </xf>
    <xf numFmtId="0" fontId="11" fillId="37" borderId="0" xfId="0" applyFont="1" applyFill="1" applyAlignment="1">
      <alignment horizontal="left"/>
    </xf>
    <xf numFmtId="0" fontId="0" fillId="35" borderId="0" xfId="0" applyFill="1" applyAlignment="1">
      <alignment/>
    </xf>
    <xf numFmtId="0" fontId="6" fillId="38" borderId="41" xfId="0" applyFont="1" applyFill="1" applyBorder="1" applyAlignment="1" applyProtection="1">
      <alignment horizontal="right"/>
      <protection/>
    </xf>
    <xf numFmtId="0" fontId="6" fillId="38" borderId="42" xfId="0" applyFont="1" applyFill="1" applyBorder="1" applyAlignment="1" applyProtection="1">
      <alignment/>
      <protection/>
    </xf>
    <xf numFmtId="0" fontId="6" fillId="38" borderId="43" xfId="0" applyFont="1" applyFill="1" applyBorder="1" applyAlignment="1" applyProtection="1">
      <alignment horizontal="right"/>
      <protection/>
    </xf>
    <xf numFmtId="0" fontId="0" fillId="35" borderId="0" xfId="0" applyFill="1" applyAlignment="1" applyProtection="1">
      <alignment/>
      <protection/>
    </xf>
    <xf numFmtId="0" fontId="12" fillId="35" borderId="38" xfId="0" applyFont="1" applyFill="1" applyBorder="1" applyAlignment="1" applyProtection="1">
      <alignment horizontal="right"/>
      <protection/>
    </xf>
    <xf numFmtId="0" fontId="6" fillId="38" borderId="44" xfId="0" applyFont="1" applyFill="1" applyBorder="1" applyAlignment="1" applyProtection="1">
      <alignment horizontal="right"/>
      <protection/>
    </xf>
    <xf numFmtId="0" fontId="6" fillId="38" borderId="45" xfId="0" applyFont="1" applyFill="1" applyBorder="1" applyAlignment="1" applyProtection="1">
      <alignment/>
      <protection/>
    </xf>
    <xf numFmtId="0" fontId="6" fillId="38" borderId="46" xfId="0" applyFont="1" applyFill="1" applyBorder="1" applyAlignment="1" applyProtection="1">
      <alignment horizontal="left"/>
      <protection/>
    </xf>
    <xf numFmtId="0" fontId="0" fillId="35" borderId="47" xfId="0" applyFill="1" applyBorder="1" applyAlignment="1" applyProtection="1">
      <alignment horizontal="right"/>
      <protection/>
    </xf>
    <xf numFmtId="0" fontId="0" fillId="35" borderId="36" xfId="0" applyFill="1" applyBorder="1" applyAlignment="1" applyProtection="1">
      <alignment horizontal="right"/>
      <protection/>
    </xf>
    <xf numFmtId="0" fontId="0" fillId="35" borderId="48" xfId="0" applyFill="1" applyBorder="1" applyAlignment="1" applyProtection="1">
      <alignment/>
      <protection/>
    </xf>
    <xf numFmtId="0" fontId="12" fillId="35" borderId="40" xfId="0" applyFont="1" applyFill="1" applyBorder="1" applyAlignment="1" applyProtection="1">
      <alignment horizontal="right"/>
      <protection/>
    </xf>
    <xf numFmtId="0" fontId="0" fillId="35" borderId="0" xfId="0" applyFill="1" applyAlignment="1" applyProtection="1">
      <alignment horizontal="right"/>
      <protection/>
    </xf>
    <xf numFmtId="0" fontId="0" fillId="35" borderId="49" xfId="0" applyFill="1" applyBorder="1" applyAlignment="1" applyProtection="1">
      <alignment horizontal="right"/>
      <protection/>
    </xf>
    <xf numFmtId="0" fontId="0" fillId="35" borderId="0" xfId="0" applyFill="1" applyBorder="1" applyAlignment="1" applyProtection="1">
      <alignment horizontal="right"/>
      <protection/>
    </xf>
    <xf numFmtId="0" fontId="0" fillId="35" borderId="50" xfId="0" applyFill="1" applyBorder="1" applyAlignment="1" applyProtection="1">
      <alignment/>
      <protection/>
    </xf>
    <xf numFmtId="0" fontId="12" fillId="35" borderId="0" xfId="0" applyFont="1" applyFill="1" applyBorder="1" applyAlignment="1" applyProtection="1">
      <alignment horizontal="right"/>
      <protection/>
    </xf>
    <xf numFmtId="0" fontId="0" fillId="35" borderId="49" xfId="0" applyFill="1" applyBorder="1" applyAlignment="1" applyProtection="1">
      <alignment/>
      <protection/>
    </xf>
    <xf numFmtId="0" fontId="0" fillId="35" borderId="0" xfId="0" applyFill="1" applyBorder="1" applyAlignment="1" applyProtection="1">
      <alignment/>
      <protection/>
    </xf>
    <xf numFmtId="0" fontId="12" fillId="35" borderId="37" xfId="0" applyFont="1" applyFill="1" applyBorder="1" applyAlignment="1" applyProtection="1">
      <alignment horizontal="right"/>
      <protection/>
    </xf>
    <xf numFmtId="0" fontId="12" fillId="35" borderId="38" xfId="0" applyFont="1" applyFill="1" applyBorder="1" applyAlignment="1" applyProtection="1" quotePrefix="1">
      <alignment horizontal="right"/>
      <protection/>
    </xf>
    <xf numFmtId="0" fontId="12" fillId="35" borderId="0" xfId="0" applyFont="1" applyFill="1" applyBorder="1" applyAlignment="1" applyProtection="1">
      <alignment horizontal="left"/>
      <protection/>
    </xf>
    <xf numFmtId="0" fontId="0" fillId="35" borderId="51" xfId="0" applyFill="1" applyBorder="1" applyAlignment="1" applyProtection="1">
      <alignment horizontal="right"/>
      <protection/>
    </xf>
    <xf numFmtId="0" fontId="0" fillId="35" borderId="37" xfId="0" applyFill="1" applyBorder="1" applyAlignment="1" applyProtection="1">
      <alignment horizontal="right"/>
      <protection/>
    </xf>
    <xf numFmtId="0" fontId="0" fillId="35" borderId="52" xfId="0" applyFill="1" applyBorder="1" applyAlignment="1" applyProtection="1">
      <alignment/>
      <protection/>
    </xf>
    <xf numFmtId="0" fontId="12" fillId="35" borderId="0" xfId="0" applyFont="1" applyFill="1" applyBorder="1" applyAlignment="1" applyProtection="1" quotePrefix="1">
      <alignment horizontal="right"/>
      <protection/>
    </xf>
    <xf numFmtId="0" fontId="0" fillId="35" borderId="0" xfId="0" applyFill="1" applyAlignment="1" applyProtection="1">
      <alignment horizontal="left"/>
      <protection/>
    </xf>
    <xf numFmtId="0" fontId="0" fillId="35" borderId="30" xfId="0" applyFill="1" applyBorder="1" applyAlignment="1">
      <alignment horizontal="right"/>
    </xf>
    <xf numFmtId="0" fontId="0" fillId="35" borderId="53" xfId="0" applyFill="1" applyBorder="1" applyAlignment="1">
      <alignment horizontal="right"/>
    </xf>
    <xf numFmtId="0" fontId="0" fillId="35" borderId="54" xfId="0" applyFill="1" applyBorder="1" applyAlignment="1">
      <alignment/>
    </xf>
    <xf numFmtId="0" fontId="0" fillId="35" borderId="55" xfId="0" applyFill="1" applyBorder="1" applyAlignment="1" applyProtection="1">
      <alignment horizontal="center"/>
      <protection/>
    </xf>
    <xf numFmtId="0" fontId="0" fillId="35" borderId="54" xfId="0" applyFill="1" applyBorder="1" applyAlignment="1" applyProtection="1">
      <alignment horizontal="center"/>
      <protection/>
    </xf>
    <xf numFmtId="0" fontId="10" fillId="0" borderId="0" xfId="0" applyFont="1" applyAlignment="1">
      <alignment horizontal="left"/>
    </xf>
    <xf numFmtId="0" fontId="27" fillId="0" borderId="0" xfId="0" applyFont="1" applyAlignment="1">
      <alignment horizontal="left"/>
    </xf>
    <xf numFmtId="0" fontId="7" fillId="0" borderId="0" xfId="0" applyFont="1" applyAlignment="1">
      <alignment/>
    </xf>
    <xf numFmtId="0" fontId="27" fillId="0" borderId="0" xfId="0" applyFont="1" applyAlignment="1">
      <alignment/>
    </xf>
    <xf numFmtId="0" fontId="0" fillId="35" borderId="0" xfId="0" applyFont="1" applyFill="1" applyBorder="1" applyAlignment="1" applyProtection="1">
      <alignment horizontal="right"/>
      <protection/>
    </xf>
    <xf numFmtId="14" fontId="0" fillId="35" borderId="0" xfId="0" applyNumberFormat="1" applyFont="1" applyFill="1" applyBorder="1" applyAlignment="1" applyProtection="1">
      <alignment/>
      <protection/>
    </xf>
    <xf numFmtId="0" fontId="18" fillId="39" borderId="56" xfId="0" applyFont="1" applyFill="1" applyBorder="1" applyAlignment="1" applyProtection="1">
      <alignment horizontal="right"/>
      <protection/>
    </xf>
    <xf numFmtId="0" fontId="18" fillId="39" borderId="57" xfId="0" applyFont="1" applyFill="1" applyBorder="1" applyAlignment="1" applyProtection="1">
      <alignment/>
      <protection/>
    </xf>
    <xf numFmtId="0" fontId="5" fillId="35" borderId="38" xfId="0" applyFont="1" applyFill="1" applyBorder="1" applyAlignment="1" applyProtection="1">
      <alignment horizontal="right"/>
      <protection/>
    </xf>
    <xf numFmtId="0" fontId="0" fillId="35" borderId="58" xfId="0" applyFont="1" applyFill="1" applyBorder="1" applyAlignment="1">
      <alignment/>
    </xf>
    <xf numFmtId="0" fontId="21" fillId="0" borderId="0" xfId="0" applyFont="1" applyFill="1" applyBorder="1" applyAlignment="1">
      <alignment horizontal="right" vertical="center"/>
    </xf>
    <xf numFmtId="0" fontId="0" fillId="35" borderId="0" xfId="0" applyFill="1" applyAlignment="1">
      <alignment/>
    </xf>
    <xf numFmtId="0" fontId="0" fillId="35" borderId="59" xfId="0" applyFill="1" applyBorder="1" applyAlignment="1">
      <alignment horizontal="right"/>
    </xf>
    <xf numFmtId="0" fontId="0" fillId="35" borderId="47" xfId="0" applyFill="1" applyBorder="1" applyAlignment="1" applyProtection="1">
      <alignment/>
      <protection/>
    </xf>
    <xf numFmtId="15" fontId="0" fillId="35" borderId="0" xfId="0" applyNumberFormat="1" applyFill="1" applyAlignment="1" applyProtection="1">
      <alignment horizontal="left"/>
      <protection/>
    </xf>
    <xf numFmtId="0" fontId="11" fillId="40" borderId="0" xfId="0" applyFont="1" applyFill="1" applyAlignment="1">
      <alignment horizontal="left"/>
    </xf>
    <xf numFmtId="0" fontId="0" fillId="35" borderId="60" xfId="0" applyFont="1" applyFill="1" applyBorder="1" applyAlignment="1">
      <alignment/>
    </xf>
    <xf numFmtId="0" fontId="0" fillId="35" borderId="24" xfId="0" applyFont="1" applyFill="1" applyBorder="1" applyAlignment="1">
      <alignment/>
    </xf>
    <xf numFmtId="0" fontId="11" fillId="0" borderId="0" xfId="0" applyFont="1" applyFill="1" applyAlignment="1">
      <alignment horizontal="left"/>
    </xf>
    <xf numFmtId="164" fontId="0" fillId="0" borderId="29" xfId="44" applyNumberFormat="1" applyFont="1" applyFill="1" applyBorder="1" applyAlignment="1" applyProtection="1">
      <alignment horizontal="right"/>
      <protection locked="0"/>
    </xf>
    <xf numFmtId="165" fontId="0" fillId="36" borderId="17" xfId="44" applyNumberFormat="1" applyFont="1" applyFill="1" applyBorder="1" applyAlignment="1" applyProtection="1">
      <alignment horizontal="right"/>
      <protection/>
    </xf>
    <xf numFmtId="165" fontId="0" fillId="0" borderId="17" xfId="44" applyNumberFormat="1" applyFont="1" applyFill="1" applyBorder="1" applyAlignment="1" applyProtection="1">
      <alignment horizontal="right"/>
      <protection locked="0"/>
    </xf>
    <xf numFmtId="0" fontId="2" fillId="0" borderId="0" xfId="0" applyFont="1" applyAlignment="1" applyProtection="1">
      <alignment vertical="center"/>
      <protection/>
    </xf>
    <xf numFmtId="0" fontId="25" fillId="0" borderId="0" xfId="0" applyFont="1" applyBorder="1" applyAlignment="1" applyProtection="1">
      <alignment/>
      <protection/>
    </xf>
    <xf numFmtId="0" fontId="10" fillId="35" borderId="25" xfId="0" applyFont="1" applyFill="1" applyBorder="1" applyAlignment="1" applyProtection="1">
      <alignment horizontal="left" wrapText="1"/>
      <protection/>
    </xf>
    <xf numFmtId="0" fontId="20" fillId="0" borderId="19" xfId="0" applyFont="1" applyFill="1" applyBorder="1" applyAlignment="1" applyProtection="1">
      <alignment horizontal="left" wrapText="1"/>
      <protection locked="0"/>
    </xf>
    <xf numFmtId="0" fontId="20" fillId="0" borderId="15" xfId="0" applyFont="1" applyFill="1" applyBorder="1" applyAlignment="1" applyProtection="1">
      <alignment horizontal="left" wrapText="1"/>
      <protection locked="0"/>
    </xf>
    <xf numFmtId="6" fontId="0" fillId="0" borderId="17" xfId="0" applyNumberFormat="1" applyFill="1" applyBorder="1" applyAlignment="1" applyProtection="1" quotePrefix="1">
      <alignment wrapText="1"/>
      <protection locked="0"/>
    </xf>
    <xf numFmtId="0" fontId="10" fillId="35" borderId="11" xfId="0" applyFont="1" applyFill="1" applyBorder="1" applyAlignment="1" applyProtection="1">
      <alignment horizontal="left" vertical="center"/>
      <protection/>
    </xf>
    <xf numFmtId="0" fontId="25" fillId="0" borderId="0" xfId="0" applyFont="1" applyBorder="1" applyAlignment="1" applyProtection="1">
      <alignment horizontal="center"/>
      <protection/>
    </xf>
    <xf numFmtId="49" fontId="0" fillId="0" borderId="17" xfId="0" applyNumberFormat="1" applyFill="1" applyBorder="1" applyAlignment="1" applyProtection="1">
      <alignment horizontal="right"/>
      <protection locked="0"/>
    </xf>
    <xf numFmtId="0" fontId="0" fillId="0" borderId="17" xfId="0" applyFill="1" applyBorder="1" applyAlignment="1" applyProtection="1">
      <alignment/>
      <protection locked="0"/>
    </xf>
    <xf numFmtId="0" fontId="0" fillId="0" borderId="17" xfId="0" applyFill="1" applyBorder="1" applyAlignment="1" applyProtection="1">
      <alignment horizontal="right"/>
      <protection locked="0"/>
    </xf>
    <xf numFmtId="0" fontId="0" fillId="0" borderId="17" xfId="0" applyNumberFormat="1" applyFill="1" applyBorder="1" applyAlignment="1" applyProtection="1">
      <alignment horizontal="right"/>
      <protection locked="0"/>
    </xf>
    <xf numFmtId="0" fontId="0" fillId="35" borderId="61" xfId="0" applyFill="1" applyBorder="1" applyAlignment="1" applyProtection="1">
      <alignment/>
      <protection/>
    </xf>
    <xf numFmtId="0" fontId="0" fillId="35" borderId="62" xfId="0" applyFill="1" applyBorder="1" applyAlignment="1" applyProtection="1">
      <alignment/>
      <protection/>
    </xf>
    <xf numFmtId="49" fontId="0" fillId="0" borderId="14" xfId="0" applyNumberFormat="1" applyFill="1" applyBorder="1" applyAlignment="1" applyProtection="1">
      <alignment horizontal="right"/>
      <protection locked="0"/>
    </xf>
    <xf numFmtId="0" fontId="0" fillId="0" borderId="14" xfId="0" applyFill="1" applyBorder="1" applyAlignment="1" applyProtection="1">
      <alignment/>
      <protection locked="0"/>
    </xf>
    <xf numFmtId="49" fontId="0" fillId="0" borderId="23" xfId="0" applyNumberFormat="1" applyFill="1" applyBorder="1" applyAlignment="1" applyProtection="1">
      <alignment horizontal="right"/>
      <protection locked="0"/>
    </xf>
    <xf numFmtId="0" fontId="0" fillId="0" borderId="23" xfId="0" applyFill="1" applyBorder="1" applyAlignment="1" applyProtection="1">
      <alignment/>
      <protection locked="0"/>
    </xf>
    <xf numFmtId="49" fontId="0" fillId="0" borderId="63" xfId="0" applyNumberFormat="1" applyFill="1" applyBorder="1" applyAlignment="1" applyProtection="1">
      <alignment horizontal="right"/>
      <protection locked="0"/>
    </xf>
    <xf numFmtId="0" fontId="7" fillId="35" borderId="9" xfId="0" applyFont="1" applyFill="1" applyBorder="1" applyAlignment="1">
      <alignment/>
    </xf>
    <xf numFmtId="4" fontId="24" fillId="35" borderId="11" xfId="0" applyNumberFormat="1" applyFont="1" applyFill="1" applyBorder="1" applyAlignment="1">
      <alignment horizontal="center"/>
    </xf>
    <xf numFmtId="0" fontId="0" fillId="35" borderId="17" xfId="0" applyFont="1" applyFill="1" applyBorder="1" applyAlignment="1">
      <alignment horizontal="center"/>
    </xf>
    <xf numFmtId="4" fontId="24" fillId="35" borderId="12" xfId="0" applyNumberFormat="1" applyFont="1" applyFill="1" applyBorder="1" applyAlignment="1">
      <alignment horizontal="center"/>
    </xf>
    <xf numFmtId="0" fontId="0" fillId="0" borderId="0" xfId="0" applyAlignment="1" applyProtection="1">
      <alignment horizontal="right"/>
      <protection/>
    </xf>
    <xf numFmtId="0" fontId="0" fillId="35" borderId="0" xfId="0" applyFill="1" applyAlignment="1" applyProtection="1">
      <alignment/>
      <protection locked="0"/>
    </xf>
    <xf numFmtId="165" fontId="0" fillId="36" borderId="12" xfId="44" applyNumberFormat="1" applyFont="1" applyFill="1" applyBorder="1" applyAlignment="1" applyProtection="1">
      <alignment horizontal="right"/>
      <protection/>
    </xf>
    <xf numFmtId="10" fontId="0" fillId="35" borderId="12" xfId="58" applyNumberFormat="1" applyFont="1" applyFill="1" applyBorder="1" applyAlignment="1">
      <alignment horizontal="right"/>
    </xf>
    <xf numFmtId="165" fontId="0" fillId="41" borderId="29" xfId="44" applyNumberFormat="1" applyFont="1" applyFill="1" applyBorder="1" applyAlignment="1" applyProtection="1">
      <alignment horizontal="right"/>
      <protection locked="0"/>
    </xf>
    <xf numFmtId="0" fontId="3" fillId="42" borderId="64" xfId="0" applyFont="1" applyFill="1" applyBorder="1" applyAlignment="1" applyProtection="1">
      <alignment horizontal="right" vertical="center"/>
      <protection locked="0"/>
    </xf>
    <xf numFmtId="0" fontId="3" fillId="42" borderId="33" xfId="0" applyFont="1" applyFill="1" applyBorder="1" applyAlignment="1" applyProtection="1">
      <alignment horizontal="right" vertical="center"/>
      <protection locked="0"/>
    </xf>
    <xf numFmtId="0" fontId="3" fillId="42" borderId="65" xfId="0" applyFont="1" applyFill="1" applyBorder="1" applyAlignment="1" applyProtection="1">
      <alignment horizontal="right" vertical="center"/>
      <protection locked="0"/>
    </xf>
    <xf numFmtId="0" fontId="0" fillId="43" borderId="0" xfId="0" applyFont="1" applyFill="1" applyBorder="1" applyAlignment="1">
      <alignment/>
    </xf>
    <xf numFmtId="0" fontId="2" fillId="43" borderId="0" xfId="0" applyFont="1" applyFill="1" applyAlignment="1">
      <alignment/>
    </xf>
    <xf numFmtId="0" fontId="0" fillId="43" borderId="15" xfId="0" applyFont="1" applyFill="1" applyBorder="1" applyAlignment="1" applyProtection="1">
      <alignment/>
      <protection/>
    </xf>
    <xf numFmtId="0" fontId="0" fillId="43" borderId="0" xfId="0" applyFont="1" applyFill="1" applyBorder="1" applyAlignment="1">
      <alignment horizontal="left"/>
    </xf>
    <xf numFmtId="14" fontId="0" fillId="43" borderId="60" xfId="0" applyNumberFormat="1" applyFont="1" applyFill="1" applyBorder="1" applyAlignment="1" applyProtection="1">
      <alignment horizontal="right"/>
      <protection/>
    </xf>
    <xf numFmtId="38" fontId="0" fillId="43" borderId="18" xfId="0" applyNumberFormat="1" applyFont="1" applyFill="1" applyBorder="1" applyAlignment="1" applyProtection="1">
      <alignment horizontal="right"/>
      <protection/>
    </xf>
    <xf numFmtId="14" fontId="0" fillId="43" borderId="16" xfId="0" applyNumberFormat="1" applyFont="1" applyFill="1" applyBorder="1" applyAlignment="1" applyProtection="1">
      <alignment horizontal="right"/>
      <protection/>
    </xf>
    <xf numFmtId="14" fontId="0" fillId="43" borderId="66" xfId="0" applyNumberFormat="1" applyFont="1" applyFill="1" applyBorder="1" applyAlignment="1" applyProtection="1">
      <alignment horizontal="right"/>
      <protection/>
    </xf>
    <xf numFmtId="14" fontId="0" fillId="43" borderId="67" xfId="0" applyNumberFormat="1" applyFont="1" applyFill="1" applyBorder="1" applyAlignment="1" applyProtection="1">
      <alignment horizontal="right"/>
      <protection/>
    </xf>
    <xf numFmtId="14" fontId="0" fillId="43" borderId="23" xfId="0" applyNumberFormat="1" applyFont="1" applyFill="1" applyBorder="1" applyAlignment="1" applyProtection="1">
      <alignment horizontal="right"/>
      <protection/>
    </xf>
    <xf numFmtId="14" fontId="0" fillId="43" borderId="22" xfId="0" applyNumberFormat="1" applyFont="1" applyFill="1" applyBorder="1" applyAlignment="1" applyProtection="1">
      <alignment horizontal="right"/>
      <protection/>
    </xf>
    <xf numFmtId="0" fontId="0" fillId="43" borderId="0" xfId="0" applyFont="1" applyFill="1" applyBorder="1" applyAlignment="1" applyProtection="1">
      <alignment horizontal="left"/>
      <protection/>
    </xf>
    <xf numFmtId="0" fontId="13" fillId="43" borderId="0" xfId="0" applyFont="1" applyFill="1" applyBorder="1" applyAlignment="1" applyProtection="1">
      <alignment horizontal="left"/>
      <protection/>
    </xf>
    <xf numFmtId="0" fontId="0" fillId="43" borderId="0" xfId="0" applyFont="1" applyFill="1" applyBorder="1" applyAlignment="1">
      <alignment horizontal="left" indent="1"/>
    </xf>
    <xf numFmtId="0" fontId="0" fillId="43" borderId="0" xfId="0" applyFont="1" applyFill="1" applyBorder="1" applyAlignment="1" applyProtection="1">
      <alignment/>
      <protection locked="0"/>
    </xf>
    <xf numFmtId="0" fontId="0" fillId="0" borderId="0" xfId="0" applyFont="1" applyAlignment="1">
      <alignment/>
    </xf>
    <xf numFmtId="0" fontId="13" fillId="0" borderId="68" xfId="0" applyFont="1" applyBorder="1" applyAlignment="1">
      <alignment/>
    </xf>
    <xf numFmtId="0" fontId="13" fillId="0" borderId="69" xfId="0" applyFont="1" applyFill="1" applyBorder="1" applyAlignment="1">
      <alignment/>
    </xf>
    <xf numFmtId="0" fontId="13" fillId="0" borderId="69" xfId="0" applyFont="1" applyBorder="1" applyAlignment="1">
      <alignment/>
    </xf>
    <xf numFmtId="164" fontId="30" fillId="0" borderId="70" xfId="0" applyNumberFormat="1" applyFont="1" applyBorder="1" applyAlignment="1">
      <alignment/>
    </xf>
    <xf numFmtId="1" fontId="25" fillId="0" borderId="0" xfId="0" applyNumberFormat="1" applyFont="1" applyBorder="1" applyAlignment="1" applyProtection="1">
      <alignment horizontal="center"/>
      <protection locked="0"/>
    </xf>
    <xf numFmtId="1" fontId="2"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2" fillId="0" borderId="0" xfId="0" applyFont="1" applyAlignment="1">
      <alignment horizontal="left" indent="12"/>
    </xf>
    <xf numFmtId="0" fontId="6" fillId="35" borderId="0" xfId="0" applyFont="1" applyFill="1" applyAlignment="1" applyProtection="1">
      <alignment/>
      <protection/>
    </xf>
    <xf numFmtId="0" fontId="3" fillId="35" borderId="71" xfId="0" applyFont="1" applyFill="1" applyBorder="1" applyAlignment="1">
      <alignment vertical="center"/>
    </xf>
    <xf numFmtId="0" fontId="4" fillId="35" borderId="71" xfId="0" applyFont="1" applyFill="1" applyBorder="1" applyAlignment="1">
      <alignment vertical="center"/>
    </xf>
    <xf numFmtId="0" fontId="10" fillId="35" borderId="71" xfId="0" applyFont="1" applyFill="1" applyBorder="1" applyAlignment="1">
      <alignment vertical="center"/>
    </xf>
    <xf numFmtId="0" fontId="0" fillId="0" borderId="0" xfId="0" applyBorder="1" applyAlignment="1" applyProtection="1">
      <alignment horizontal="left"/>
      <protection/>
    </xf>
    <xf numFmtId="14" fontId="25" fillId="0" borderId="0" xfId="0" applyNumberFormat="1" applyFont="1" applyBorder="1" applyAlignment="1" applyProtection="1">
      <alignment horizontal="center"/>
      <protection/>
    </xf>
    <xf numFmtId="0" fontId="0" fillId="0" borderId="37" xfId="0" applyBorder="1" applyAlignment="1" applyProtection="1">
      <alignment/>
      <protection/>
    </xf>
    <xf numFmtId="0" fontId="0" fillId="0" borderId="36" xfId="0" applyBorder="1" applyAlignment="1" applyProtection="1">
      <alignment horizontal="left"/>
      <protection/>
    </xf>
    <xf numFmtId="4" fontId="2" fillId="0" borderId="0" xfId="0" applyNumberFormat="1" applyFont="1" applyAlignment="1" applyProtection="1">
      <alignment/>
      <protection/>
    </xf>
    <xf numFmtId="14" fontId="25" fillId="0" borderId="0" xfId="0" applyNumberFormat="1" applyFont="1" applyBorder="1" applyAlignment="1" applyProtection="1">
      <alignment horizontal="left"/>
      <protection locked="0"/>
    </xf>
    <xf numFmtId="0" fontId="2" fillId="0" borderId="0" xfId="0" applyFont="1" applyBorder="1" applyAlignment="1" applyProtection="1">
      <alignment horizontal="left"/>
      <protection locked="0"/>
    </xf>
    <xf numFmtId="0" fontId="25" fillId="0" borderId="0" xfId="0" applyFont="1" applyBorder="1" applyAlignment="1" applyProtection="1">
      <alignment horizontal="left"/>
      <protection locked="0"/>
    </xf>
    <xf numFmtId="0" fontId="2" fillId="0" borderId="0" xfId="0" applyFont="1" applyBorder="1" applyAlignment="1" applyProtection="1">
      <alignment horizontal="center"/>
      <protection/>
    </xf>
    <xf numFmtId="0" fontId="14" fillId="0" borderId="36" xfId="0" applyFont="1" applyBorder="1" applyAlignment="1" applyProtection="1">
      <alignment horizontal="center"/>
      <protection locked="0"/>
    </xf>
    <xf numFmtId="0" fontId="2" fillId="0" borderId="0" xfId="0" applyFont="1" applyBorder="1" applyAlignment="1">
      <alignment/>
    </xf>
    <xf numFmtId="0" fontId="14" fillId="0" borderId="0" xfId="0" applyFont="1" applyBorder="1" applyAlignment="1">
      <alignment textRotation="180"/>
    </xf>
    <xf numFmtId="14" fontId="25" fillId="0" borderId="0" xfId="0"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5" fillId="0" borderId="0" xfId="0" applyFont="1" applyBorder="1" applyAlignment="1" applyProtection="1">
      <alignment/>
      <protection locked="0"/>
    </xf>
    <xf numFmtId="0" fontId="14" fillId="0" borderId="36" xfId="0" applyFont="1" applyBorder="1" applyAlignment="1">
      <alignment horizontal="center"/>
    </xf>
    <xf numFmtId="0" fontId="0" fillId="0" borderId="36" xfId="0" applyBorder="1" applyAlignment="1" applyProtection="1">
      <alignment/>
      <protection/>
    </xf>
    <xf numFmtId="0" fontId="0" fillId="0" borderId="0" xfId="0" applyBorder="1" applyAlignment="1" applyProtection="1">
      <alignment/>
      <protection locked="0"/>
    </xf>
    <xf numFmtId="0" fontId="25" fillId="0" borderId="0" xfId="0" applyFont="1" applyBorder="1" applyAlignment="1" applyProtection="1">
      <alignment/>
      <protection locked="0"/>
    </xf>
    <xf numFmtId="14" fontId="25" fillId="0" borderId="0" xfId="0" applyNumberFormat="1" applyFont="1" applyBorder="1" applyAlignment="1" applyProtection="1">
      <alignment/>
      <protection/>
    </xf>
    <xf numFmtId="0" fontId="2" fillId="0" borderId="0" xfId="0" applyFont="1" applyAlignment="1">
      <alignment horizontal="left"/>
    </xf>
    <xf numFmtId="0" fontId="25" fillId="40" borderId="0" xfId="0" applyFont="1" applyFill="1" applyBorder="1" applyAlignment="1" applyProtection="1">
      <alignment horizontal="center"/>
      <protection locked="0"/>
    </xf>
    <xf numFmtId="0" fontId="2" fillId="0" borderId="36" xfId="0" applyFont="1" applyBorder="1" applyAlignment="1" applyProtection="1">
      <alignment horizontal="center"/>
      <protection/>
    </xf>
    <xf numFmtId="0" fontId="2" fillId="0" borderId="36" xfId="0" applyFont="1" applyBorder="1" applyAlignment="1" applyProtection="1">
      <alignment/>
      <protection/>
    </xf>
    <xf numFmtId="0" fontId="32" fillId="35" borderId="0" xfId="0" applyFont="1" applyFill="1" applyBorder="1" applyAlignment="1" applyProtection="1">
      <alignment horizontal="right"/>
      <protection/>
    </xf>
    <xf numFmtId="0" fontId="33" fillId="35" borderId="0" xfId="0" applyFont="1" applyFill="1" applyAlignment="1" applyProtection="1">
      <alignment/>
      <protection/>
    </xf>
    <xf numFmtId="0" fontId="12" fillId="44" borderId="0" xfId="0" applyFont="1" applyFill="1" applyBorder="1" applyAlignment="1" applyProtection="1">
      <alignment horizontal="right"/>
      <protection/>
    </xf>
    <xf numFmtId="0" fontId="12" fillId="36" borderId="0" xfId="0" applyFont="1" applyFill="1" applyBorder="1" applyAlignment="1" applyProtection="1">
      <alignment horizontal="right"/>
      <protection/>
    </xf>
    <xf numFmtId="0" fontId="32" fillId="36" borderId="0" xfId="0" applyFont="1" applyFill="1" applyBorder="1" applyAlignment="1" applyProtection="1">
      <alignment horizontal="right"/>
      <protection/>
    </xf>
    <xf numFmtId="0" fontId="32" fillId="44" borderId="0" xfId="0" applyFont="1" applyFill="1" applyBorder="1" applyAlignment="1" applyProtection="1">
      <alignment horizontal="right"/>
      <protection/>
    </xf>
    <xf numFmtId="2" fontId="0" fillId="35" borderId="0" xfId="0" applyNumberFormat="1" applyFont="1" applyFill="1" applyAlignment="1" applyProtection="1" quotePrefix="1">
      <alignment horizontal="left"/>
      <protection/>
    </xf>
    <xf numFmtId="14" fontId="0" fillId="35" borderId="0" xfId="0" applyNumberFormat="1" applyFill="1" applyAlignment="1" applyProtection="1">
      <alignment/>
      <protection/>
    </xf>
    <xf numFmtId="168" fontId="0" fillId="43" borderId="9" xfId="0" applyNumberFormat="1" applyFill="1" applyBorder="1" applyAlignment="1" applyProtection="1">
      <alignment/>
      <protection/>
    </xf>
    <xf numFmtId="0" fontId="0" fillId="43" borderId="9" xfId="0" applyFill="1" applyBorder="1" applyAlignment="1">
      <alignment horizontal="left"/>
    </xf>
    <xf numFmtId="0" fontId="0" fillId="0" borderId="0" xfId="0" applyAlignment="1">
      <alignment horizontal="left"/>
    </xf>
    <xf numFmtId="49" fontId="16" fillId="37" borderId="37" xfId="0" applyNumberFormat="1" applyFont="1" applyFill="1" applyBorder="1" applyAlignment="1" applyProtection="1">
      <alignment horizontal="center"/>
      <protection locked="0"/>
    </xf>
    <xf numFmtId="38" fontId="25" fillId="0" borderId="0" xfId="0" applyNumberFormat="1" applyFont="1" applyBorder="1" applyAlignment="1" applyProtection="1">
      <alignment/>
      <protection/>
    </xf>
    <xf numFmtId="1" fontId="0" fillId="0" borderId="0" xfId="0" applyNumberFormat="1" applyBorder="1" applyAlignment="1">
      <alignment/>
    </xf>
    <xf numFmtId="49" fontId="34" fillId="40" borderId="0" xfId="0" applyNumberFormat="1" applyFont="1" applyFill="1" applyBorder="1" applyAlignment="1" applyProtection="1">
      <alignment horizontal="center"/>
      <protection locked="0"/>
    </xf>
    <xf numFmtId="49" fontId="34" fillId="40" borderId="0" xfId="0" applyNumberFormat="1" applyFont="1" applyFill="1" applyBorder="1" applyAlignment="1" applyProtection="1">
      <alignment/>
      <protection locked="0"/>
    </xf>
    <xf numFmtId="0" fontId="6" fillId="0" borderId="0" xfId="0" applyFont="1" applyAlignment="1">
      <alignment horizontal="left"/>
    </xf>
    <xf numFmtId="0" fontId="2" fillId="0" borderId="0" xfId="0" applyFont="1" applyAlignment="1">
      <alignment textRotation="255"/>
    </xf>
    <xf numFmtId="43" fontId="2" fillId="0" borderId="0" xfId="42" applyFont="1" applyAlignment="1">
      <alignment/>
    </xf>
    <xf numFmtId="0" fontId="0" fillId="0" borderId="0" xfId="0" applyFont="1" applyAlignment="1">
      <alignment horizontal="left"/>
    </xf>
    <xf numFmtId="49" fontId="2" fillId="0" borderId="0" xfId="0" applyNumberFormat="1" applyFont="1" applyAlignment="1">
      <alignment/>
    </xf>
    <xf numFmtId="0" fontId="31" fillId="0" borderId="0" xfId="0" applyFont="1" applyBorder="1" applyAlignment="1" applyProtection="1">
      <alignment/>
      <protection/>
    </xf>
    <xf numFmtId="0" fontId="14" fillId="0" borderId="0" xfId="0" applyFont="1" applyBorder="1" applyAlignment="1" applyProtection="1">
      <alignment horizontal="center"/>
      <protection locked="0"/>
    </xf>
    <xf numFmtId="0" fontId="14" fillId="0" borderId="0" xfId="0" applyFont="1" applyBorder="1" applyAlignment="1" applyProtection="1">
      <alignment/>
      <protection locked="0"/>
    </xf>
    <xf numFmtId="49" fontId="25" fillId="0" borderId="0" xfId="0" applyNumberFormat="1" applyFont="1" applyBorder="1" applyAlignment="1" applyProtection="1">
      <alignment/>
      <protection locked="0"/>
    </xf>
    <xf numFmtId="0" fontId="14" fillId="0" borderId="0" xfId="0" applyFont="1" applyBorder="1" applyAlignment="1">
      <alignment horizontal="center"/>
    </xf>
    <xf numFmtId="49" fontId="16" fillId="45" borderId="0" xfId="0" applyNumberFormat="1" applyFont="1" applyFill="1" applyBorder="1" applyAlignment="1" applyProtection="1">
      <alignment/>
      <protection locked="0"/>
    </xf>
    <xf numFmtId="49" fontId="16" fillId="45" borderId="0" xfId="0" applyNumberFormat="1" applyFont="1" applyFill="1" applyBorder="1" applyAlignment="1" applyProtection="1">
      <alignment horizontal="center" vertical="center" wrapText="1"/>
      <protection locked="0"/>
    </xf>
    <xf numFmtId="49" fontId="16" fillId="0" borderId="0" xfId="0" applyNumberFormat="1" applyFont="1" applyBorder="1" applyAlignment="1" applyProtection="1">
      <alignment vertical="center" wrapText="1"/>
      <protection locked="0"/>
    </xf>
    <xf numFmtId="0" fontId="16" fillId="45" borderId="37" xfId="0" applyFont="1" applyFill="1" applyBorder="1" applyAlignment="1" applyProtection="1">
      <alignment horizontal="center"/>
      <protection locked="0"/>
    </xf>
    <xf numFmtId="0" fontId="14" fillId="0" borderId="0" xfId="0" applyFont="1" applyAlignment="1">
      <alignment horizontal="center"/>
    </xf>
    <xf numFmtId="0" fontId="14" fillId="0" borderId="0" xfId="0" applyFont="1" applyAlignment="1">
      <alignment horizontal="center" vertical="top" wrapText="1"/>
    </xf>
    <xf numFmtId="0" fontId="14" fillId="0" borderId="0" xfId="0" applyFont="1" applyAlignment="1">
      <alignment/>
    </xf>
    <xf numFmtId="0" fontId="2" fillId="0" borderId="0" xfId="0" applyFont="1" applyAlignment="1">
      <alignment/>
    </xf>
    <xf numFmtId="0" fontId="2" fillId="0" borderId="0" xfId="0" applyFont="1" applyAlignment="1">
      <alignment horizontal="left" vertical="top" wrapText="1"/>
    </xf>
    <xf numFmtId="0" fontId="2" fillId="0" borderId="0" xfId="0" applyFont="1" applyAlignment="1">
      <alignment horizontal="left" indent="9"/>
    </xf>
    <xf numFmtId="0" fontId="2" fillId="0" borderId="0" xfId="0" applyFont="1" applyAlignment="1">
      <alignment horizontal="center"/>
    </xf>
    <xf numFmtId="0" fontId="2" fillId="0" borderId="0" xfId="0" applyFont="1" applyAlignment="1">
      <alignment horizontal="left" indent="2"/>
    </xf>
    <xf numFmtId="0" fontId="2" fillId="0" borderId="0" xfId="0" applyFont="1" applyAlignment="1">
      <alignment vertical="top" wrapText="1"/>
    </xf>
    <xf numFmtId="0" fontId="2" fillId="0" borderId="0" xfId="0" applyFont="1" applyAlignment="1">
      <alignment horizontal="left" textRotation="255" indent="4"/>
    </xf>
    <xf numFmtId="0" fontId="2" fillId="0" borderId="0" xfId="0" applyFont="1" applyAlignment="1">
      <alignment horizontal="center" vertical="top" wrapText="1"/>
    </xf>
    <xf numFmtId="0" fontId="2" fillId="0" borderId="0" xfId="0" applyFont="1" applyAlignment="1">
      <alignment horizontal="left" indent="5"/>
    </xf>
    <xf numFmtId="0" fontId="0" fillId="42" borderId="9" xfId="0" applyFill="1" applyBorder="1" applyAlignment="1" applyProtection="1">
      <alignment horizontal="center"/>
      <protection locked="0"/>
    </xf>
    <xf numFmtId="0" fontId="25" fillId="0" borderId="37" xfId="0" applyNumberFormat="1" applyFont="1" applyBorder="1" applyAlignment="1" applyProtection="1">
      <alignment/>
      <protection/>
    </xf>
    <xf numFmtId="0" fontId="31" fillId="0" borderId="0" xfId="0" applyFont="1" applyBorder="1" applyAlignment="1" applyProtection="1">
      <alignment horizontal="center"/>
      <protection/>
    </xf>
    <xf numFmtId="0" fontId="2" fillId="0" borderId="37" xfId="0" applyFont="1" applyBorder="1" applyAlignment="1" applyProtection="1">
      <alignment/>
      <protection/>
    </xf>
    <xf numFmtId="2" fontId="25" fillId="0" borderId="37" xfId="0" applyNumberFormat="1" applyFont="1" applyBorder="1" applyAlignment="1" applyProtection="1">
      <alignment/>
      <protection/>
    </xf>
    <xf numFmtId="1" fontId="25" fillId="0" borderId="37" xfId="0" applyNumberFormat="1" applyFont="1" applyBorder="1" applyAlignment="1" applyProtection="1">
      <alignment/>
      <protection/>
    </xf>
    <xf numFmtId="0" fontId="0" fillId="0" borderId="14" xfId="0" applyFont="1" applyFill="1" applyBorder="1" applyAlignment="1" applyProtection="1">
      <alignment horizontal="left" wrapText="1"/>
      <protection locked="0"/>
    </xf>
    <xf numFmtId="0" fontId="0" fillId="0" borderId="17" xfId="0" applyFont="1" applyFill="1" applyBorder="1" applyAlignment="1" applyProtection="1">
      <alignment horizontal="left" wrapText="1"/>
      <protection locked="0"/>
    </xf>
    <xf numFmtId="0" fontId="0" fillId="0" borderId="23" xfId="0" applyFont="1" applyFill="1" applyBorder="1" applyAlignment="1" applyProtection="1">
      <alignment horizontal="left" wrapText="1"/>
      <protection locked="0"/>
    </xf>
    <xf numFmtId="0" fontId="0" fillId="46" borderId="15" xfId="0" applyFont="1" applyFill="1" applyBorder="1" applyAlignment="1">
      <alignment horizontal="left"/>
    </xf>
    <xf numFmtId="2" fontId="0" fillId="42" borderId="62" xfId="0" applyNumberFormat="1" applyFont="1" applyFill="1" applyBorder="1" applyAlignment="1" applyProtection="1">
      <alignment horizontal="right"/>
      <protection locked="0"/>
    </xf>
    <xf numFmtId="2" fontId="0" fillId="42" borderId="29" xfId="0" applyNumberFormat="1" applyFont="1" applyFill="1" applyBorder="1" applyAlignment="1" applyProtection="1">
      <alignment horizontal="right"/>
      <protection locked="0"/>
    </xf>
    <xf numFmtId="0" fontId="3" fillId="35" borderId="27" xfId="0" applyFont="1" applyFill="1" applyBorder="1" applyAlignment="1">
      <alignment horizontal="center" wrapText="1"/>
    </xf>
    <xf numFmtId="167" fontId="0" fillId="35" borderId="27" xfId="58" applyNumberFormat="1" applyFont="1" applyFill="1" applyBorder="1" applyAlignment="1">
      <alignment horizontal="right"/>
    </xf>
    <xf numFmtId="167" fontId="0" fillId="35" borderId="62" xfId="58" applyNumberFormat="1" applyFont="1" applyFill="1" applyBorder="1" applyAlignment="1">
      <alignment horizontal="right"/>
    </xf>
    <xf numFmtId="167" fontId="0" fillId="35" borderId="72" xfId="58" applyNumberFormat="1" applyFont="1" applyFill="1" applyBorder="1" applyAlignment="1">
      <alignment horizontal="right"/>
    </xf>
    <xf numFmtId="167" fontId="0" fillId="35" borderId="29" xfId="58" applyNumberFormat="1" applyFont="1" applyFill="1" applyBorder="1" applyAlignment="1">
      <alignment horizontal="right"/>
    </xf>
    <xf numFmtId="167" fontId="0" fillId="35" borderId="73" xfId="58" applyNumberFormat="1" applyFont="1" applyFill="1" applyBorder="1" applyAlignment="1">
      <alignment horizontal="right"/>
    </xf>
    <xf numFmtId="6" fontId="0" fillId="35" borderId="74" xfId="0" applyNumberFormat="1" applyFont="1" applyFill="1" applyBorder="1" applyAlignment="1">
      <alignment/>
    </xf>
    <xf numFmtId="6" fontId="0" fillId="35" borderId="33" xfId="0" applyNumberFormat="1" applyFont="1" applyFill="1" applyBorder="1" applyAlignment="1">
      <alignment/>
    </xf>
    <xf numFmtId="6" fontId="0" fillId="35" borderId="75" xfId="0" applyNumberFormat="1" applyFont="1" applyFill="1" applyBorder="1" applyAlignment="1">
      <alignment/>
    </xf>
    <xf numFmtId="165" fontId="0" fillId="36" borderId="13" xfId="44" applyNumberFormat="1" applyFont="1" applyFill="1" applyBorder="1" applyAlignment="1" applyProtection="1">
      <alignment horizontal="right"/>
      <protection/>
    </xf>
    <xf numFmtId="6" fontId="0" fillId="35" borderId="13" xfId="0" applyNumberFormat="1" applyFont="1" applyFill="1" applyBorder="1" applyAlignment="1">
      <alignment horizontal="right"/>
    </xf>
    <xf numFmtId="6" fontId="0" fillId="35" borderId="26" xfId="0" applyNumberFormat="1" applyFont="1" applyFill="1" applyBorder="1" applyAlignment="1">
      <alignment horizontal="right"/>
    </xf>
    <xf numFmtId="6" fontId="0" fillId="35" borderId="75" xfId="0" applyNumberFormat="1" applyFont="1" applyFill="1" applyBorder="1" applyAlignment="1">
      <alignment horizontal="right"/>
    </xf>
    <xf numFmtId="6" fontId="0" fillId="35" borderId="13" xfId="0" applyNumberFormat="1" applyFont="1" applyFill="1" applyBorder="1" applyAlignment="1">
      <alignment/>
    </xf>
    <xf numFmtId="0" fontId="0" fillId="35" borderId="0" xfId="0" applyFont="1" applyFill="1" applyAlignment="1" applyProtection="1">
      <alignment/>
      <protection/>
    </xf>
    <xf numFmtId="0" fontId="10" fillId="35" borderId="24" xfId="0" applyFont="1" applyFill="1" applyBorder="1" applyAlignment="1">
      <alignment horizontal="center" vertical="center"/>
    </xf>
    <xf numFmtId="164" fontId="7" fillId="0" borderId="69" xfId="0" applyNumberFormat="1" applyFont="1" applyBorder="1" applyAlignment="1" applyProtection="1">
      <alignment/>
      <protection hidden="1" locked="0"/>
    </xf>
    <xf numFmtId="164" fontId="7" fillId="0" borderId="69" xfId="0" applyNumberFormat="1" applyFont="1" applyBorder="1" applyAlignment="1" applyProtection="1">
      <alignment/>
      <protection locked="0"/>
    </xf>
    <xf numFmtId="165" fontId="13" fillId="0" borderId="69" xfId="0" applyNumberFormat="1" applyFont="1" applyBorder="1" applyAlignment="1" applyProtection="1">
      <alignment/>
      <protection hidden="1" locked="0"/>
    </xf>
    <xf numFmtId="165" fontId="13" fillId="0" borderId="69" xfId="0" applyNumberFormat="1" applyFont="1" applyFill="1" applyBorder="1" applyAlignment="1" applyProtection="1">
      <alignment/>
      <protection locked="0"/>
    </xf>
    <xf numFmtId="0" fontId="0" fillId="46" borderId="16" xfId="0" applyFont="1" applyFill="1" applyBorder="1" applyAlignment="1" applyProtection="1">
      <alignment horizontal="left"/>
      <protection locked="0"/>
    </xf>
    <xf numFmtId="165" fontId="7" fillId="0" borderId="76" xfId="0" applyNumberFormat="1" applyFont="1" applyBorder="1" applyAlignment="1" applyProtection="1">
      <alignment/>
      <protection hidden="1" locked="0"/>
    </xf>
    <xf numFmtId="164" fontId="7" fillId="0" borderId="69" xfId="0" applyNumberFormat="1" applyFont="1" applyFill="1" applyBorder="1" applyAlignment="1" applyProtection="1">
      <alignment/>
      <protection hidden="1" locked="0"/>
    </xf>
    <xf numFmtId="164" fontId="7" fillId="0" borderId="69" xfId="0" applyNumberFormat="1" applyFont="1" applyFill="1" applyBorder="1" applyAlignment="1" applyProtection="1">
      <alignment/>
      <protection locked="0"/>
    </xf>
    <xf numFmtId="164" fontId="7" fillId="0" borderId="69" xfId="0" applyNumberFormat="1" applyFont="1" applyFill="1" applyBorder="1" applyAlignment="1" applyProtection="1">
      <alignment/>
      <protection locked="0"/>
    </xf>
    <xf numFmtId="165" fontId="7" fillId="47" borderId="70" xfId="0" applyNumberFormat="1" applyFont="1" applyFill="1" applyBorder="1" applyAlignment="1">
      <alignment horizontal="right"/>
    </xf>
    <xf numFmtId="164" fontId="13" fillId="0" borderId="69" xfId="0" applyNumberFormat="1" applyFont="1" applyFill="1" applyBorder="1" applyAlignment="1" applyProtection="1">
      <alignment/>
      <protection locked="0"/>
    </xf>
    <xf numFmtId="0" fontId="6" fillId="35" borderId="0" xfId="0" applyFont="1" applyFill="1" applyAlignment="1" applyProtection="1">
      <alignment/>
      <protection/>
    </xf>
    <xf numFmtId="0" fontId="21" fillId="43" borderId="0" xfId="0" applyFont="1" applyFill="1" applyBorder="1" applyAlignment="1" applyProtection="1">
      <alignment horizontal="left"/>
      <protection/>
    </xf>
    <xf numFmtId="0" fontId="22" fillId="43" borderId="0" xfId="0" applyFont="1" applyFill="1" applyBorder="1" applyAlignment="1" applyProtection="1">
      <alignment horizontal="left"/>
      <protection/>
    </xf>
    <xf numFmtId="0" fontId="22" fillId="43" borderId="0" xfId="0" applyFont="1" applyFill="1" applyBorder="1" applyAlignment="1" applyProtection="1">
      <alignment horizontal="center"/>
      <protection/>
    </xf>
    <xf numFmtId="0" fontId="3" fillId="43" borderId="0" xfId="0" applyFont="1" applyFill="1" applyBorder="1" applyAlignment="1" applyProtection="1">
      <alignment horizontal="center" vertical="top"/>
      <protection/>
    </xf>
    <xf numFmtId="0" fontId="2" fillId="43" borderId="0" xfId="0" applyFont="1" applyFill="1" applyAlignment="1" applyProtection="1">
      <alignment/>
      <protection/>
    </xf>
    <xf numFmtId="0" fontId="21" fillId="43" borderId="0" xfId="0" applyFont="1" applyFill="1" applyBorder="1" applyAlignment="1" applyProtection="1">
      <alignment horizontal="right"/>
      <protection/>
    </xf>
    <xf numFmtId="0" fontId="0" fillId="43" borderId="0" xfId="0" applyFont="1" applyFill="1" applyBorder="1" applyAlignment="1" applyProtection="1">
      <alignment/>
      <protection/>
    </xf>
    <xf numFmtId="0" fontId="3" fillId="43" borderId="0" xfId="0" applyFont="1" applyFill="1" applyBorder="1" applyAlignment="1" applyProtection="1">
      <alignment horizontal="left" vertical="center"/>
      <protection/>
    </xf>
    <xf numFmtId="0" fontId="23" fillId="43" borderId="0" xfId="0" applyFont="1" applyFill="1" applyBorder="1" applyAlignment="1" applyProtection="1">
      <alignment horizontal="center"/>
      <protection/>
    </xf>
    <xf numFmtId="0" fontId="0" fillId="43" borderId="19" xfId="0" applyFont="1" applyFill="1" applyBorder="1" applyAlignment="1" applyProtection="1">
      <alignment/>
      <protection/>
    </xf>
    <xf numFmtId="0" fontId="0" fillId="43" borderId="58" xfId="0" applyFont="1" applyFill="1" applyBorder="1" applyAlignment="1" applyProtection="1">
      <alignment/>
      <protection/>
    </xf>
    <xf numFmtId="0" fontId="0" fillId="43" borderId="15" xfId="0" applyFont="1" applyFill="1" applyBorder="1" applyAlignment="1" applyProtection="1">
      <alignment horizontal="left"/>
      <protection/>
    </xf>
    <xf numFmtId="0" fontId="0" fillId="43" borderId="30" xfId="0" applyFont="1" applyFill="1" applyBorder="1" applyAlignment="1" applyProtection="1">
      <alignment/>
      <protection/>
    </xf>
    <xf numFmtId="0" fontId="0" fillId="43" borderId="21" xfId="0" applyFont="1" applyFill="1" applyBorder="1" applyAlignment="1" applyProtection="1">
      <alignment/>
      <protection/>
    </xf>
    <xf numFmtId="0" fontId="0" fillId="43" borderId="31" xfId="0" applyFont="1" applyFill="1" applyBorder="1" applyAlignment="1" applyProtection="1">
      <alignment horizontal="left"/>
      <protection/>
    </xf>
    <xf numFmtId="0" fontId="0" fillId="43" borderId="32" xfId="0" applyFont="1" applyFill="1" applyBorder="1" applyAlignment="1" applyProtection="1">
      <alignment horizontal="left"/>
      <protection/>
    </xf>
    <xf numFmtId="0" fontId="3" fillId="43" borderId="54" xfId="0" applyFont="1" applyFill="1" applyBorder="1" applyAlignment="1" applyProtection="1">
      <alignment horizontal="left" vertical="top" wrapText="1"/>
      <protection/>
    </xf>
    <xf numFmtId="0" fontId="3" fillId="43" borderId="25" xfId="0" applyFont="1" applyFill="1" applyBorder="1" applyAlignment="1" applyProtection="1">
      <alignment horizontal="center" vertical="top" wrapText="1"/>
      <protection/>
    </xf>
    <xf numFmtId="0" fontId="3" fillId="43" borderId="12" xfId="0" applyFont="1" applyFill="1" applyBorder="1" applyAlignment="1" applyProtection="1">
      <alignment horizontal="center" vertical="top" wrapText="1"/>
      <protection/>
    </xf>
    <xf numFmtId="0" fontId="3" fillId="43" borderId="27" xfId="0" applyFont="1" applyFill="1" applyBorder="1" applyAlignment="1" applyProtection="1">
      <alignment horizontal="center" vertical="top" wrapText="1"/>
      <protection/>
    </xf>
    <xf numFmtId="0" fontId="3" fillId="43" borderId="13" xfId="0" applyFont="1" applyFill="1" applyBorder="1" applyAlignment="1" applyProtection="1">
      <alignment horizontal="center" vertical="top" wrapText="1"/>
      <protection/>
    </xf>
    <xf numFmtId="0" fontId="20"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protection/>
    </xf>
    <xf numFmtId="0" fontId="77" fillId="43" borderId="77" xfId="0" applyFont="1" applyFill="1" applyBorder="1" applyAlignment="1" applyProtection="1">
      <alignment horizontal="center" vertical="top" wrapText="1"/>
      <protection/>
    </xf>
    <xf numFmtId="0" fontId="3" fillId="43" borderId="13" xfId="0" applyFont="1" applyFill="1" applyBorder="1" applyAlignment="1" applyProtection="1">
      <alignment horizontal="center" vertical="center"/>
      <protection/>
    </xf>
    <xf numFmtId="0" fontId="0" fillId="43" borderId="0" xfId="0" applyFont="1" applyFill="1" applyBorder="1" applyAlignment="1" applyProtection="1">
      <alignment horizontal="left" vertical="top"/>
      <protection/>
    </xf>
    <xf numFmtId="0" fontId="3" fillId="43" borderId="59" xfId="0" applyFont="1" applyFill="1" applyBorder="1" applyAlignment="1" applyProtection="1">
      <alignment horizontal="center"/>
      <protection/>
    </xf>
    <xf numFmtId="0" fontId="3" fillId="43" borderId="30" xfId="0" applyFont="1" applyFill="1" applyBorder="1" applyAlignment="1" applyProtection="1">
      <alignment horizontal="center"/>
      <protection/>
    </xf>
    <xf numFmtId="0" fontId="3" fillId="43" borderId="53" xfId="0" applyFont="1" applyFill="1" applyBorder="1" applyAlignment="1" applyProtection="1">
      <alignment horizontal="center"/>
      <protection/>
    </xf>
    <xf numFmtId="0" fontId="3" fillId="43" borderId="0" xfId="0" applyFont="1" applyFill="1" applyBorder="1" applyAlignment="1" applyProtection="1">
      <alignment/>
      <protection/>
    </xf>
    <xf numFmtId="0" fontId="78" fillId="43" borderId="0" xfId="0" applyFont="1" applyFill="1" applyBorder="1" applyAlignment="1" applyProtection="1">
      <alignment horizontal="center"/>
      <protection/>
    </xf>
    <xf numFmtId="0" fontId="78" fillId="35" borderId="0" xfId="0" applyFont="1" applyFill="1" applyBorder="1" applyAlignment="1">
      <alignment horizontal="center"/>
    </xf>
    <xf numFmtId="0" fontId="78" fillId="35" borderId="0" xfId="0" applyFont="1" applyFill="1" applyBorder="1" applyAlignment="1">
      <alignment horizontal="center" vertical="center"/>
    </xf>
    <xf numFmtId="0" fontId="78" fillId="35" borderId="0" xfId="0" applyFont="1" applyFill="1" applyBorder="1" applyAlignment="1" applyProtection="1">
      <alignment horizontal="center" vertical="center"/>
      <protection/>
    </xf>
    <xf numFmtId="0" fontId="78" fillId="0" borderId="0" xfId="0" applyFont="1" applyFill="1" applyBorder="1" applyAlignment="1">
      <alignment/>
    </xf>
    <xf numFmtId="4" fontId="39" fillId="0" borderId="17" xfId="0" applyNumberFormat="1" applyFont="1" applyFill="1" applyBorder="1" applyAlignment="1" applyProtection="1">
      <alignment horizontal="right"/>
      <protection locked="0"/>
    </xf>
    <xf numFmtId="0" fontId="6" fillId="35" borderId="15" xfId="0" applyFont="1" applyFill="1" applyBorder="1" applyAlignment="1">
      <alignment horizontal="left"/>
    </xf>
    <xf numFmtId="0" fontId="6" fillId="35" borderId="78" xfId="0" applyFont="1" applyFill="1" applyBorder="1" applyAlignment="1">
      <alignment horizontal="left"/>
    </xf>
    <xf numFmtId="4" fontId="24" fillId="35" borderId="12" xfId="0" applyNumberFormat="1" applyFont="1" applyFill="1" applyBorder="1" applyAlignment="1" applyProtection="1">
      <alignment horizontal="center"/>
      <protection/>
    </xf>
    <xf numFmtId="5" fontId="24" fillId="35" borderId="13" xfId="0" applyNumberFormat="1" applyFont="1" applyFill="1" applyBorder="1" applyAlignment="1" applyProtection="1">
      <alignment horizontal="center"/>
      <protection/>
    </xf>
    <xf numFmtId="165" fontId="24" fillId="35" borderId="12" xfId="0" applyNumberFormat="1" applyFont="1" applyFill="1" applyBorder="1" applyAlignment="1" applyProtection="1">
      <alignment horizontal="center"/>
      <protection/>
    </xf>
    <xf numFmtId="165" fontId="24" fillId="35" borderId="27" xfId="0" applyNumberFormat="1" applyFont="1" applyFill="1" applyBorder="1" applyAlignment="1" applyProtection="1">
      <alignment horizontal="center"/>
      <protection/>
    </xf>
    <xf numFmtId="4" fontId="24" fillId="35" borderId="11" xfId="0" applyNumberFormat="1" applyFont="1" applyFill="1" applyBorder="1" applyAlignment="1" applyProtection="1">
      <alignment horizontal="center"/>
      <protection/>
    </xf>
    <xf numFmtId="0" fontId="0" fillId="35" borderId="0" xfId="0" applyFont="1" applyFill="1" applyAlignment="1" applyProtection="1">
      <alignment/>
      <protection/>
    </xf>
    <xf numFmtId="8" fontId="0" fillId="0" borderId="18" xfId="0" applyNumberFormat="1" applyFill="1" applyBorder="1" applyAlignment="1" applyProtection="1">
      <alignment wrapText="1"/>
      <protection locked="0"/>
    </xf>
    <xf numFmtId="8" fontId="0" fillId="0" borderId="17" xfId="0" applyNumberFormat="1" applyFill="1" applyBorder="1" applyAlignment="1" applyProtection="1">
      <alignment wrapText="1"/>
      <protection locked="0"/>
    </xf>
    <xf numFmtId="8" fontId="0" fillId="0" borderId="17" xfId="0" applyNumberFormat="1" applyFont="1" applyFill="1" applyBorder="1" applyAlignment="1" applyProtection="1">
      <alignment wrapText="1"/>
      <protection locked="0"/>
    </xf>
    <xf numFmtId="4" fontId="0" fillId="48" borderId="18" xfId="0" applyNumberFormat="1" applyFont="1" applyFill="1" applyBorder="1" applyAlignment="1" applyProtection="1">
      <alignment horizontal="right"/>
      <protection/>
    </xf>
    <xf numFmtId="0" fontId="10" fillId="35" borderId="27" xfId="0" applyFont="1" applyFill="1" applyBorder="1" applyAlignment="1">
      <alignment horizontal="center" vertical="center"/>
    </xf>
    <xf numFmtId="0" fontId="10" fillId="35" borderId="27" xfId="0" applyFont="1" applyFill="1" applyBorder="1" applyAlignment="1" applyProtection="1">
      <alignment horizontal="center" vertical="center"/>
      <protection/>
    </xf>
    <xf numFmtId="0" fontId="3" fillId="35" borderId="27" xfId="0" applyFont="1" applyFill="1" applyBorder="1" applyAlignment="1">
      <alignment horizontal="center" vertical="center"/>
    </xf>
    <xf numFmtId="0" fontId="0" fillId="42" borderId="9" xfId="0" applyFill="1" applyBorder="1" applyAlignment="1" applyProtection="1">
      <alignment/>
      <protection locked="0"/>
    </xf>
    <xf numFmtId="0" fontId="0" fillId="42" borderId="9" xfId="0" applyFont="1" applyFill="1" applyBorder="1" applyAlignment="1" applyProtection="1">
      <alignment horizontal="center"/>
      <protection locked="0"/>
    </xf>
    <xf numFmtId="0" fontId="7" fillId="42" borderId="28" xfId="0" applyFont="1" applyFill="1" applyBorder="1" applyAlignment="1" applyProtection="1">
      <alignment/>
      <protection/>
    </xf>
    <xf numFmtId="0" fontId="3" fillId="43" borderId="71" xfId="0" applyFont="1" applyFill="1" applyBorder="1" applyAlignment="1" applyProtection="1">
      <alignment vertical="top"/>
      <protection/>
    </xf>
    <xf numFmtId="0" fontId="3" fillId="43" borderId="54" xfId="0" applyFont="1" applyFill="1" applyBorder="1" applyAlignment="1" applyProtection="1">
      <alignment vertical="top"/>
      <protection/>
    </xf>
    <xf numFmtId="0" fontId="3" fillId="43" borderId="79" xfId="0" applyFont="1" applyFill="1" applyBorder="1" applyAlignment="1" applyProtection="1">
      <alignment vertical="top"/>
      <protection/>
    </xf>
    <xf numFmtId="0" fontId="3" fillId="43" borderId="80" xfId="0" applyFont="1" applyFill="1" applyBorder="1" applyAlignment="1" applyProtection="1">
      <alignment vertical="top"/>
      <protection/>
    </xf>
    <xf numFmtId="0" fontId="3" fillId="43" borderId="0" xfId="0" applyFont="1" applyFill="1" applyBorder="1" applyAlignment="1" applyProtection="1">
      <alignment vertical="top"/>
      <protection/>
    </xf>
    <xf numFmtId="0" fontId="3" fillId="43" borderId="55" xfId="0" applyFont="1" applyFill="1" applyBorder="1" applyAlignment="1" applyProtection="1">
      <alignment vertical="top"/>
      <protection/>
    </xf>
    <xf numFmtId="0" fontId="3" fillId="43" borderId="59" xfId="0" applyFont="1" applyFill="1" applyBorder="1" applyAlignment="1" applyProtection="1">
      <alignment horizontal="center" vertical="top"/>
      <protection locked="0"/>
    </xf>
    <xf numFmtId="0" fontId="3" fillId="43" borderId="30" xfId="0" applyFont="1" applyFill="1" applyBorder="1" applyAlignment="1" applyProtection="1">
      <alignment horizontal="center" vertical="top" wrapText="1"/>
      <protection locked="0"/>
    </xf>
    <xf numFmtId="38" fontId="0" fillId="43" borderId="30" xfId="0" applyNumberFormat="1" applyFont="1" applyFill="1" applyBorder="1" applyAlignment="1" applyProtection="1">
      <alignment horizontal="right"/>
      <protection locked="0"/>
    </xf>
    <xf numFmtId="38" fontId="0" fillId="43" borderId="53" xfId="0" applyNumberFormat="1" applyFont="1" applyFill="1" applyBorder="1" applyAlignment="1" applyProtection="1">
      <alignment horizontal="right"/>
      <protection locked="0"/>
    </xf>
    <xf numFmtId="0" fontId="0" fillId="49" borderId="0" xfId="0" applyFill="1" applyAlignment="1">
      <alignment/>
    </xf>
    <xf numFmtId="0" fontId="0" fillId="49" borderId="0" xfId="0" applyFont="1" applyFill="1" applyAlignment="1">
      <alignment/>
    </xf>
    <xf numFmtId="0" fontId="6" fillId="49" borderId="0" xfId="0" applyFont="1" applyFill="1" applyAlignment="1">
      <alignment/>
    </xf>
    <xf numFmtId="0" fontId="13" fillId="50" borderId="68" xfId="0" applyFont="1" applyFill="1" applyBorder="1" applyAlignment="1">
      <alignment horizontal="center"/>
    </xf>
    <xf numFmtId="170" fontId="13" fillId="50" borderId="68" xfId="0" applyNumberFormat="1" applyFont="1" applyFill="1" applyBorder="1" applyAlignment="1">
      <alignment horizontal="center"/>
    </xf>
    <xf numFmtId="0" fontId="13" fillId="50" borderId="70" xfId="0" applyFont="1" applyFill="1" applyBorder="1" applyAlignment="1">
      <alignment/>
    </xf>
    <xf numFmtId="170" fontId="13" fillId="50" borderId="70" xfId="0" applyNumberFormat="1" applyFont="1" applyFill="1" applyBorder="1" applyAlignment="1">
      <alignment horizontal="center"/>
    </xf>
    <xf numFmtId="0" fontId="13" fillId="50" borderId="70" xfId="0" applyFont="1" applyFill="1" applyBorder="1" applyAlignment="1">
      <alignment horizontal="center"/>
    </xf>
    <xf numFmtId="0" fontId="13" fillId="50" borderId="81" xfId="0" applyFont="1" applyFill="1" applyBorder="1" applyAlignment="1">
      <alignment/>
    </xf>
    <xf numFmtId="0" fontId="13" fillId="50" borderId="82" xfId="0" applyFont="1" applyFill="1" applyBorder="1" applyAlignment="1">
      <alignment/>
    </xf>
    <xf numFmtId="0" fontId="13" fillId="50" borderId="68" xfId="0" applyFont="1" applyFill="1" applyBorder="1" applyAlignment="1">
      <alignment/>
    </xf>
    <xf numFmtId="0" fontId="30" fillId="50" borderId="70" xfId="0" applyFont="1" applyFill="1" applyBorder="1" applyAlignment="1">
      <alignment/>
    </xf>
    <xf numFmtId="172" fontId="13" fillId="50" borderId="76" xfId="0" applyNumberFormat="1" applyFont="1" applyFill="1" applyBorder="1" applyAlignment="1">
      <alignment/>
    </xf>
    <xf numFmtId="165" fontId="13" fillId="50" borderId="81" xfId="0" applyNumberFormat="1" applyFont="1" applyFill="1" applyBorder="1" applyAlignment="1">
      <alignment/>
    </xf>
    <xf numFmtId="10" fontId="13" fillId="50" borderId="76" xfId="0" applyNumberFormat="1" applyFont="1" applyFill="1" applyBorder="1" applyAlignment="1">
      <alignment/>
    </xf>
    <xf numFmtId="0" fontId="13" fillId="51" borderId="69" xfId="0" applyFont="1" applyFill="1" applyBorder="1" applyAlignment="1">
      <alignment/>
    </xf>
    <xf numFmtId="164" fontId="13" fillId="51" borderId="69" xfId="0" applyNumberFormat="1" applyFont="1" applyFill="1" applyBorder="1" applyAlignment="1">
      <alignment/>
    </xf>
    <xf numFmtId="164" fontId="13" fillId="50" borderId="82" xfId="0" applyNumberFormat="1" applyFont="1" applyFill="1" applyBorder="1" applyAlignment="1">
      <alignment/>
    </xf>
    <xf numFmtId="10" fontId="13" fillId="50" borderId="69" xfId="0" applyNumberFormat="1" applyFont="1" applyFill="1" applyBorder="1" applyAlignment="1">
      <alignment/>
    </xf>
    <xf numFmtId="169" fontId="13" fillId="51" borderId="69" xfId="0" applyNumberFormat="1" applyFont="1" applyFill="1" applyBorder="1" applyAlignment="1">
      <alignment/>
    </xf>
    <xf numFmtId="165" fontId="13" fillId="50" borderId="82" xfId="0" applyNumberFormat="1" applyFont="1" applyFill="1" applyBorder="1" applyAlignment="1">
      <alignment/>
    </xf>
    <xf numFmtId="10" fontId="13" fillId="50" borderId="83" xfId="0" applyNumberFormat="1" applyFont="1" applyFill="1" applyBorder="1" applyAlignment="1">
      <alignment/>
    </xf>
    <xf numFmtId="171" fontId="13" fillId="50" borderId="68" xfId="0" applyNumberFormat="1" applyFont="1" applyFill="1" applyBorder="1" applyAlignment="1">
      <alignment/>
    </xf>
    <xf numFmtId="165" fontId="13" fillId="50" borderId="70" xfId="0" applyNumberFormat="1" applyFont="1" applyFill="1" applyBorder="1" applyAlignment="1">
      <alignment/>
    </xf>
    <xf numFmtId="10" fontId="13" fillId="50" borderId="70" xfId="0" applyNumberFormat="1" applyFont="1" applyFill="1" applyBorder="1" applyAlignment="1">
      <alignment/>
    </xf>
    <xf numFmtId="3" fontId="13" fillId="50" borderId="68" xfId="0" applyNumberFormat="1" applyFont="1" applyFill="1" applyBorder="1" applyAlignment="1">
      <alignment/>
    </xf>
    <xf numFmtId="165" fontId="13" fillId="50" borderId="54" xfId="0" applyNumberFormat="1" applyFont="1" applyFill="1" applyBorder="1" applyAlignment="1">
      <alignment/>
    </xf>
    <xf numFmtId="164" fontId="13" fillId="50" borderId="76" xfId="0" applyNumberFormat="1" applyFont="1" applyFill="1" applyBorder="1" applyAlignment="1" applyProtection="1">
      <alignment/>
      <protection/>
    </xf>
    <xf numFmtId="165" fontId="13" fillId="50" borderId="76" xfId="0" applyNumberFormat="1" applyFont="1" applyFill="1" applyBorder="1" applyAlignment="1">
      <alignment/>
    </xf>
    <xf numFmtId="3" fontId="13" fillId="50" borderId="84" xfId="0" applyNumberFormat="1" applyFont="1" applyFill="1" applyBorder="1" applyAlignment="1">
      <alignment/>
    </xf>
    <xf numFmtId="0" fontId="13" fillId="50" borderId="76" xfId="0" applyFont="1" applyFill="1" applyBorder="1" applyAlignment="1">
      <alignment/>
    </xf>
    <xf numFmtId="165" fontId="13" fillId="50" borderId="84" xfId="0" applyNumberFormat="1" applyFont="1" applyFill="1" applyBorder="1" applyAlignment="1">
      <alignment/>
    </xf>
    <xf numFmtId="165" fontId="13" fillId="50" borderId="68" xfId="0" applyNumberFormat="1" applyFont="1" applyFill="1" applyBorder="1" applyAlignment="1">
      <alignment/>
    </xf>
    <xf numFmtId="165" fontId="13" fillId="50" borderId="68" xfId="0" applyNumberFormat="1" applyFont="1" applyFill="1" applyBorder="1" applyAlignment="1" applyProtection="1">
      <alignment/>
      <protection hidden="1"/>
    </xf>
    <xf numFmtId="165" fontId="13" fillId="50" borderId="70" xfId="0" applyNumberFormat="1" applyFont="1" applyFill="1" applyBorder="1" applyAlignment="1" applyProtection="1">
      <alignment/>
      <protection hidden="1"/>
    </xf>
    <xf numFmtId="0" fontId="13" fillId="50" borderId="0" xfId="0" applyFont="1" applyFill="1" applyAlignment="1">
      <alignment/>
    </xf>
    <xf numFmtId="0" fontId="30" fillId="50" borderId="0" xfId="0" applyFont="1" applyFill="1" applyAlignment="1">
      <alignment/>
    </xf>
    <xf numFmtId="0" fontId="0" fillId="50" borderId="0" xfId="0" applyFill="1" applyAlignment="1">
      <alignment/>
    </xf>
    <xf numFmtId="164" fontId="13" fillId="50" borderId="77" xfId="0" applyNumberFormat="1" applyFont="1" applyFill="1" applyBorder="1" applyAlignment="1" applyProtection="1">
      <alignment/>
      <protection locked="0"/>
    </xf>
    <xf numFmtId="0" fontId="7" fillId="50" borderId="0" xfId="0" applyFont="1" applyFill="1" applyAlignment="1">
      <alignment/>
    </xf>
    <xf numFmtId="164" fontId="7" fillId="50" borderId="0" xfId="0" applyNumberFormat="1" applyFont="1" applyFill="1" applyBorder="1" applyAlignment="1">
      <alignment/>
    </xf>
    <xf numFmtId="164" fontId="29" fillId="50" borderId="0" xfId="0" applyNumberFormat="1" applyFont="1" applyFill="1" applyBorder="1" applyAlignment="1">
      <alignment/>
    </xf>
    <xf numFmtId="0" fontId="7" fillId="50" borderId="68" xfId="0" applyFont="1" applyFill="1" applyBorder="1" applyAlignment="1">
      <alignment/>
    </xf>
    <xf numFmtId="164" fontId="7" fillId="50" borderId="68" xfId="0" applyNumberFormat="1" applyFont="1" applyFill="1" applyBorder="1" applyAlignment="1" applyProtection="1">
      <alignment/>
      <protection hidden="1"/>
    </xf>
    <xf numFmtId="164" fontId="7" fillId="50" borderId="68" xfId="0" applyNumberFormat="1" applyFont="1" applyFill="1" applyBorder="1" applyAlignment="1">
      <alignment/>
    </xf>
    <xf numFmtId="164" fontId="29" fillId="50" borderId="68" xfId="0" applyNumberFormat="1" applyFont="1" applyFill="1" applyBorder="1" applyAlignment="1">
      <alignment/>
    </xf>
    <xf numFmtId="0" fontId="7" fillId="50" borderId="68" xfId="0" applyFont="1" applyFill="1" applyBorder="1" applyAlignment="1" applyProtection="1">
      <alignment/>
      <protection hidden="1"/>
    </xf>
    <xf numFmtId="3" fontId="29" fillId="50" borderId="68" xfId="0" applyNumberFormat="1" applyFont="1" applyFill="1" applyBorder="1" applyAlignment="1">
      <alignment/>
    </xf>
    <xf numFmtId="0" fontId="28" fillId="50" borderId="70" xfId="0" applyFont="1" applyFill="1" applyBorder="1" applyAlignment="1">
      <alignment/>
    </xf>
    <xf numFmtId="164" fontId="28" fillId="50" borderId="70" xfId="0" applyNumberFormat="1" applyFont="1" applyFill="1" applyBorder="1" applyAlignment="1" applyProtection="1">
      <alignment/>
      <protection hidden="1"/>
    </xf>
    <xf numFmtId="164" fontId="28" fillId="50" borderId="70" xfId="0" applyNumberFormat="1" applyFont="1" applyFill="1" applyBorder="1" applyAlignment="1">
      <alignment/>
    </xf>
    <xf numFmtId="164" fontId="28" fillId="50" borderId="54" xfId="0" applyNumberFormat="1" applyFont="1" applyFill="1" applyBorder="1" applyAlignment="1">
      <alignment/>
    </xf>
    <xf numFmtId="0" fontId="7" fillId="50" borderId="81" xfId="0" applyFont="1" applyFill="1" applyBorder="1" applyAlignment="1">
      <alignment/>
    </xf>
    <xf numFmtId="0" fontId="7" fillId="51" borderId="69" xfId="0" applyFont="1" applyFill="1" applyBorder="1" applyAlignment="1">
      <alignment/>
    </xf>
    <xf numFmtId="3" fontId="29" fillId="51" borderId="84" xfId="0" applyNumberFormat="1" applyFont="1" applyFill="1" applyBorder="1" applyAlignment="1">
      <alignment/>
    </xf>
    <xf numFmtId="169" fontId="7" fillId="51" borderId="69" xfId="0" applyNumberFormat="1" applyFont="1" applyFill="1" applyBorder="1" applyAlignment="1">
      <alignment/>
    </xf>
    <xf numFmtId="164" fontId="7" fillId="51" borderId="84" xfId="0" applyNumberFormat="1" applyFont="1" applyFill="1" applyBorder="1" applyAlignment="1">
      <alignment/>
    </xf>
    <xf numFmtId="0" fontId="7" fillId="50" borderId="68" xfId="0" applyFont="1" applyFill="1" applyBorder="1" applyAlignment="1">
      <alignment horizontal="center"/>
    </xf>
    <xf numFmtId="0" fontId="7" fillId="50" borderId="68" xfId="0" applyFont="1" applyFill="1" applyBorder="1" applyAlignment="1">
      <alignment horizontal="center"/>
    </xf>
    <xf numFmtId="0" fontId="7" fillId="50" borderId="70" xfId="0" applyFont="1" applyFill="1" applyBorder="1" applyAlignment="1">
      <alignment/>
    </xf>
    <xf numFmtId="0" fontId="7" fillId="50" borderId="70" xfId="0" applyFont="1" applyFill="1" applyBorder="1" applyAlignment="1">
      <alignment horizontal="center"/>
    </xf>
    <xf numFmtId="0" fontId="7" fillId="50" borderId="70" xfId="0" applyFont="1" applyFill="1" applyBorder="1" applyAlignment="1">
      <alignment horizontal="center"/>
    </xf>
    <xf numFmtId="170" fontId="7" fillId="50" borderId="68" xfId="0" applyNumberFormat="1" applyFont="1" applyFill="1" applyBorder="1" applyAlignment="1">
      <alignment horizontal="center"/>
    </xf>
    <xf numFmtId="170" fontId="7" fillId="50" borderId="68" xfId="0" applyNumberFormat="1" applyFont="1" applyFill="1" applyBorder="1" applyAlignment="1">
      <alignment horizontal="center"/>
    </xf>
    <xf numFmtId="170" fontId="7" fillId="50" borderId="70" xfId="0" applyNumberFormat="1" applyFont="1" applyFill="1" applyBorder="1" applyAlignment="1">
      <alignment horizontal="center"/>
    </xf>
    <xf numFmtId="170" fontId="7" fillId="50" borderId="70" xfId="0" applyNumberFormat="1" applyFont="1" applyFill="1" applyBorder="1" applyAlignment="1">
      <alignment horizontal="center"/>
    </xf>
    <xf numFmtId="164" fontId="7" fillId="51" borderId="69" xfId="0" applyNumberFormat="1" applyFont="1" applyFill="1" applyBorder="1" applyAlignment="1">
      <alignment/>
    </xf>
    <xf numFmtId="0" fontId="28" fillId="50" borderId="0" xfId="0" applyFont="1" applyFill="1" applyAlignment="1">
      <alignment horizontal="left"/>
    </xf>
    <xf numFmtId="170" fontId="7" fillId="50" borderId="0" xfId="0" applyNumberFormat="1" applyFont="1" applyFill="1" applyAlignment="1">
      <alignment/>
    </xf>
    <xf numFmtId="0" fontId="7" fillId="50" borderId="82" xfId="0" applyFont="1" applyFill="1" applyBorder="1" applyAlignment="1">
      <alignment/>
    </xf>
    <xf numFmtId="0" fontId="7" fillId="50" borderId="82" xfId="0" applyFont="1" applyFill="1" applyBorder="1" applyAlignment="1">
      <alignment/>
    </xf>
    <xf numFmtId="49" fontId="0" fillId="42" borderId="28" xfId="0" applyNumberFormat="1" applyFill="1" applyBorder="1" applyAlignment="1" applyProtection="1">
      <alignment horizontal="center"/>
      <protection locked="0"/>
    </xf>
    <xf numFmtId="0" fontId="21" fillId="43" borderId="55" xfId="0" applyFont="1" applyFill="1" applyBorder="1" applyAlignment="1" applyProtection="1">
      <alignment horizontal="right"/>
      <protection/>
    </xf>
    <xf numFmtId="0" fontId="2" fillId="43" borderId="0" xfId="0" applyFont="1" applyFill="1" applyBorder="1" applyAlignment="1" applyProtection="1">
      <alignment/>
      <protection/>
    </xf>
    <xf numFmtId="0" fontId="2" fillId="43" borderId="55" xfId="0" applyFont="1" applyFill="1" applyBorder="1" applyAlignment="1" applyProtection="1">
      <alignment/>
      <protection/>
    </xf>
    <xf numFmtId="0" fontId="13" fillId="0" borderId="17" xfId="0" applyFont="1" applyFill="1" applyBorder="1" applyAlignment="1" applyProtection="1">
      <alignment/>
      <protection locked="0"/>
    </xf>
    <xf numFmtId="0" fontId="79" fillId="50" borderId="0" xfId="0" applyFont="1" applyFill="1" applyBorder="1" applyAlignment="1" applyProtection="1">
      <alignment/>
      <protection/>
    </xf>
    <xf numFmtId="0" fontId="79" fillId="50" borderId="0" xfId="0" applyFont="1" applyFill="1" applyAlignment="1" applyProtection="1">
      <alignment/>
      <protection/>
    </xf>
    <xf numFmtId="0" fontId="0" fillId="42" borderId="9" xfId="0" applyNumberFormat="1" applyFont="1" applyFill="1" applyBorder="1" applyAlignment="1" applyProtection="1">
      <alignment wrapText="1"/>
      <protection/>
    </xf>
    <xf numFmtId="0" fontId="0" fillId="42" borderId="28" xfId="0" applyNumberFormat="1" applyFont="1" applyFill="1" applyBorder="1" applyAlignment="1" applyProtection="1">
      <alignment wrapText="1"/>
      <protection/>
    </xf>
    <xf numFmtId="0" fontId="7" fillId="50" borderId="81" xfId="0" applyFont="1" applyFill="1" applyBorder="1" applyAlignment="1">
      <alignment/>
    </xf>
    <xf numFmtId="0" fontId="0" fillId="35" borderId="16" xfId="0" applyFont="1" applyFill="1" applyBorder="1" applyAlignment="1">
      <alignment/>
    </xf>
    <xf numFmtId="0" fontId="0" fillId="35" borderId="25" xfId="0" applyFont="1" applyFill="1" applyBorder="1" applyAlignment="1">
      <alignment/>
    </xf>
    <xf numFmtId="164" fontId="21" fillId="35" borderId="14" xfId="0" applyNumberFormat="1" applyFont="1" applyFill="1" applyBorder="1" applyAlignment="1">
      <alignment horizontal="left" vertical="center"/>
    </xf>
    <xf numFmtId="164" fontId="21" fillId="35" borderId="17" xfId="0" applyNumberFormat="1" applyFont="1" applyFill="1" applyBorder="1" applyAlignment="1">
      <alignment horizontal="left" vertical="center"/>
    </xf>
    <xf numFmtId="164" fontId="21" fillId="35" borderId="34" xfId="0" applyNumberFormat="1" applyFont="1" applyFill="1" applyBorder="1" applyAlignment="1">
      <alignment horizontal="left" vertical="center"/>
    </xf>
    <xf numFmtId="164" fontId="21" fillId="35" borderId="12" xfId="0" applyNumberFormat="1" applyFont="1" applyFill="1" applyBorder="1" applyAlignment="1">
      <alignment horizontal="left" vertical="center"/>
    </xf>
    <xf numFmtId="0" fontId="0" fillId="43" borderId="0" xfId="0" applyFont="1" applyFill="1" applyBorder="1" applyAlignment="1" applyProtection="1">
      <alignment/>
      <protection/>
    </xf>
    <xf numFmtId="0" fontId="14" fillId="0" borderId="0" xfId="0" applyFont="1" applyBorder="1" applyAlignment="1">
      <alignment wrapText="1"/>
    </xf>
    <xf numFmtId="49" fontId="0" fillId="0" borderId="17" xfId="0" applyNumberFormat="1" applyFill="1" applyBorder="1" applyAlignment="1" applyProtection="1">
      <alignment horizontal="right"/>
      <protection/>
    </xf>
    <xf numFmtId="0" fontId="0" fillId="35" borderId="80" xfId="0" applyFill="1" applyBorder="1" applyAlignment="1" applyProtection="1">
      <alignment horizontal="center"/>
      <protection/>
    </xf>
    <xf numFmtId="0" fontId="0" fillId="35" borderId="0" xfId="0" applyFill="1" applyBorder="1" applyAlignment="1" applyProtection="1">
      <alignment horizontal="center"/>
      <protection/>
    </xf>
    <xf numFmtId="0" fontId="0" fillId="0" borderId="17" xfId="0" applyFill="1" applyBorder="1" applyAlignment="1" applyProtection="1">
      <alignment horizontal="right"/>
      <protection/>
    </xf>
    <xf numFmtId="0" fontId="0" fillId="35" borderId="30" xfId="0" applyFill="1" applyBorder="1" applyAlignment="1">
      <alignment/>
    </xf>
    <xf numFmtId="0" fontId="0" fillId="35" borderId="67" xfId="0" applyFill="1" applyBorder="1" applyAlignment="1">
      <alignment/>
    </xf>
    <xf numFmtId="0" fontId="0" fillId="35" borderId="34" xfId="0" applyFill="1" applyBorder="1" applyAlignment="1">
      <alignment/>
    </xf>
    <xf numFmtId="0" fontId="0" fillId="35" borderId="85" xfId="0" applyFill="1" applyBorder="1" applyAlignment="1">
      <alignment/>
    </xf>
    <xf numFmtId="0" fontId="0" fillId="35" borderId="18" xfId="0" applyFill="1" applyBorder="1" applyAlignment="1">
      <alignment/>
    </xf>
    <xf numFmtId="0" fontId="3" fillId="43" borderId="30" xfId="0" applyFont="1" applyFill="1" applyBorder="1" applyAlignment="1" applyProtection="1">
      <alignment horizontal="center" vertical="top" wrapText="1"/>
      <protection/>
    </xf>
    <xf numFmtId="0" fontId="3" fillId="43" borderId="0" xfId="0" applyFont="1" applyFill="1" applyBorder="1" applyAlignment="1" applyProtection="1">
      <alignment horizontal="center" vertical="top" wrapText="1"/>
      <protection/>
    </xf>
    <xf numFmtId="0" fontId="3" fillId="43" borderId="55" xfId="0" applyFont="1" applyFill="1" applyBorder="1" applyAlignment="1" applyProtection="1">
      <alignment horizontal="center" vertical="top" wrapText="1"/>
      <protection/>
    </xf>
    <xf numFmtId="0" fontId="3" fillId="43" borderId="30" xfId="0" applyFont="1" applyFill="1" applyBorder="1" applyAlignment="1" applyProtection="1">
      <alignment horizontal="center" vertical="center" wrapText="1"/>
      <protection/>
    </xf>
    <xf numFmtId="0" fontId="3" fillId="43" borderId="0" xfId="0" applyFont="1" applyFill="1" applyBorder="1" applyAlignment="1" applyProtection="1">
      <alignment horizontal="center" vertical="center" wrapText="1"/>
      <protection/>
    </xf>
    <xf numFmtId="0" fontId="3" fillId="43" borderId="55" xfId="0" applyFont="1" applyFill="1" applyBorder="1" applyAlignment="1" applyProtection="1">
      <alignment horizontal="center" vertical="center" wrapText="1"/>
      <protection/>
    </xf>
    <xf numFmtId="0" fontId="21" fillId="35" borderId="0" xfId="0" applyFont="1" applyFill="1" applyBorder="1" applyAlignment="1" applyProtection="1">
      <alignment horizontal="left" vertical="center"/>
      <protection/>
    </xf>
    <xf numFmtId="6" fontId="0" fillId="35" borderId="13" xfId="0" applyNumberFormat="1" applyFont="1" applyFill="1" applyBorder="1" applyAlignment="1">
      <alignment horizontal="right"/>
    </xf>
    <xf numFmtId="165" fontId="13" fillId="50" borderId="77" xfId="0" applyNumberFormat="1" applyFont="1" applyFill="1" applyBorder="1" applyAlignment="1">
      <alignment/>
    </xf>
    <xf numFmtId="164" fontId="13" fillId="50" borderId="77" xfId="0" applyNumberFormat="1" applyFont="1" applyFill="1" applyBorder="1" applyAlignment="1">
      <alignment/>
    </xf>
    <xf numFmtId="10" fontId="13" fillId="50" borderId="77" xfId="0" applyNumberFormat="1" applyFont="1" applyFill="1" applyBorder="1" applyAlignment="1">
      <alignment/>
    </xf>
    <xf numFmtId="0" fontId="80" fillId="35" borderId="0" xfId="0" applyFont="1" applyFill="1" applyAlignment="1" applyProtection="1">
      <alignment/>
      <protection/>
    </xf>
    <xf numFmtId="0" fontId="81" fillId="35" borderId="0" xfId="0" applyFont="1" applyFill="1" applyAlignment="1" applyProtection="1">
      <alignment/>
      <protection/>
    </xf>
    <xf numFmtId="14" fontId="82" fillId="43" borderId="60" xfId="0" applyNumberFormat="1" applyFont="1" applyFill="1" applyBorder="1" applyAlignment="1" applyProtection="1">
      <alignment horizontal="right"/>
      <protection/>
    </xf>
    <xf numFmtId="0" fontId="79" fillId="50" borderId="0" xfId="0" applyFont="1" applyFill="1" applyBorder="1" applyAlignment="1" applyProtection="1">
      <alignment horizontal="right"/>
      <protection/>
    </xf>
    <xf numFmtId="165" fontId="13" fillId="0" borderId="17" xfId="0" applyNumberFormat="1" applyFont="1" applyFill="1" applyBorder="1" applyAlignment="1" applyProtection="1">
      <alignment/>
      <protection locked="0"/>
    </xf>
    <xf numFmtId="10" fontId="9" fillId="35" borderId="77" xfId="0" applyNumberFormat="1" applyFont="1" applyFill="1" applyBorder="1" applyAlignment="1">
      <alignment horizontal="left" vertical="center"/>
    </xf>
    <xf numFmtId="1" fontId="0" fillId="42" borderId="26" xfId="0" applyNumberFormat="1" applyFont="1" applyFill="1" applyBorder="1" applyAlignment="1" applyProtection="1">
      <alignment horizontal="right"/>
      <protection locked="0"/>
    </xf>
    <xf numFmtId="1" fontId="0" fillId="42" borderId="33" xfId="0" applyNumberFormat="1" applyFont="1" applyFill="1" applyBorder="1" applyAlignment="1" applyProtection="1">
      <alignment horizontal="right"/>
      <protection locked="0"/>
    </xf>
    <xf numFmtId="0" fontId="0" fillId="43" borderId="0" xfId="0" applyFont="1" applyFill="1" applyBorder="1" applyAlignment="1" applyProtection="1">
      <alignment horizontal="left" vertical="top"/>
      <protection/>
    </xf>
    <xf numFmtId="0" fontId="78" fillId="43" borderId="0" xfId="0" applyFont="1" applyFill="1" applyBorder="1" applyAlignment="1" applyProtection="1">
      <alignment horizontal="center"/>
      <protection/>
    </xf>
    <xf numFmtId="0" fontId="3" fillId="43" borderId="53" xfId="0" applyFont="1" applyFill="1" applyBorder="1" applyAlignment="1">
      <alignment horizontal="left" wrapText="1"/>
    </xf>
    <xf numFmtId="0" fontId="3" fillId="43" borderId="71" xfId="0" applyFont="1" applyFill="1" applyBorder="1" applyAlignment="1">
      <alignment horizontal="left" wrapText="1"/>
    </xf>
    <xf numFmtId="0" fontId="3" fillId="43" borderId="54" xfId="0" applyFont="1" applyFill="1" applyBorder="1" applyAlignment="1">
      <alignment horizontal="left" wrapText="1"/>
    </xf>
    <xf numFmtId="0" fontId="3" fillId="43" borderId="59" xfId="0" applyFont="1" applyFill="1" applyBorder="1" applyAlignment="1" applyProtection="1">
      <alignment horizontal="center" vertical="top" wrapText="1"/>
      <protection/>
    </xf>
    <xf numFmtId="0" fontId="3" fillId="43" borderId="79" xfId="0" applyFont="1" applyFill="1" applyBorder="1" applyAlignment="1" applyProtection="1">
      <alignment horizontal="center" vertical="top" wrapText="1"/>
      <protection/>
    </xf>
    <xf numFmtId="0" fontId="3" fillId="43" borderId="80" xfId="0" applyFont="1" applyFill="1" applyBorder="1" applyAlignment="1" applyProtection="1">
      <alignment horizontal="center" vertical="top" wrapText="1"/>
      <protection/>
    </xf>
    <xf numFmtId="0" fontId="3" fillId="43" borderId="59" xfId="0" applyFont="1" applyFill="1" applyBorder="1" applyAlignment="1" applyProtection="1">
      <alignment horizontal="center" vertical="center" wrapText="1"/>
      <protection/>
    </xf>
    <xf numFmtId="0" fontId="3" fillId="43" borderId="79" xfId="0" applyFont="1" applyFill="1" applyBorder="1" applyAlignment="1" applyProtection="1">
      <alignment horizontal="center" vertical="center" wrapText="1"/>
      <protection/>
    </xf>
    <xf numFmtId="0" fontId="3" fillId="43" borderId="80" xfId="0" applyFont="1" applyFill="1" applyBorder="1" applyAlignment="1" applyProtection="1">
      <alignment horizontal="center" vertical="center" wrapText="1"/>
      <protection/>
    </xf>
    <xf numFmtId="0" fontId="3" fillId="43" borderId="30" xfId="0" applyFont="1" applyFill="1" applyBorder="1" applyAlignment="1" applyProtection="1">
      <alignment horizontal="left" vertical="center" wrapText="1"/>
      <protection/>
    </xf>
    <xf numFmtId="0" fontId="3" fillId="43" borderId="0" xfId="0" applyFont="1" applyFill="1" applyBorder="1" applyAlignment="1" applyProtection="1">
      <alignment horizontal="left" vertical="center" wrapText="1"/>
      <protection/>
    </xf>
    <xf numFmtId="0" fontId="3" fillId="43" borderId="55" xfId="0" applyFont="1" applyFill="1" applyBorder="1" applyAlignment="1" applyProtection="1">
      <alignment horizontal="left" vertical="center" wrapText="1"/>
      <protection/>
    </xf>
    <xf numFmtId="0" fontId="3" fillId="43" borderId="24" xfId="0" applyFont="1" applyFill="1" applyBorder="1" applyAlignment="1" applyProtection="1">
      <alignment horizontal="center" vertical="center" wrapText="1"/>
      <protection/>
    </xf>
    <xf numFmtId="0" fontId="3" fillId="43" borderId="86" xfId="0" applyFont="1" applyFill="1" applyBorder="1" applyAlignment="1" applyProtection="1">
      <alignment horizontal="center" vertical="center" wrapText="1"/>
      <protection/>
    </xf>
    <xf numFmtId="0" fontId="3" fillId="43" borderId="87" xfId="0" applyFont="1" applyFill="1" applyBorder="1" applyAlignment="1" applyProtection="1">
      <alignment horizontal="center" vertical="center" wrapText="1"/>
      <protection/>
    </xf>
    <xf numFmtId="164" fontId="4" fillId="52" borderId="24" xfId="0" applyNumberFormat="1" applyFont="1" applyFill="1" applyBorder="1" applyAlignment="1" applyProtection="1">
      <alignment horizontal="center" vertical="top" wrapText="1"/>
      <protection locked="0"/>
    </xf>
    <xf numFmtId="164" fontId="4" fillId="52" borderId="86" xfId="0" applyNumberFormat="1" applyFont="1" applyFill="1" applyBorder="1" applyAlignment="1" applyProtection="1">
      <alignment horizontal="center" vertical="top" wrapText="1"/>
      <protection locked="0"/>
    </xf>
    <xf numFmtId="164" fontId="4" fillId="52" borderId="87" xfId="0" applyNumberFormat="1" applyFont="1" applyFill="1" applyBorder="1" applyAlignment="1" applyProtection="1">
      <alignment horizontal="center" vertical="top" wrapText="1"/>
      <protection locked="0"/>
    </xf>
    <xf numFmtId="1" fontId="4" fillId="52" borderId="24" xfId="0" applyNumberFormat="1" applyFont="1" applyFill="1" applyBorder="1" applyAlignment="1" applyProtection="1">
      <alignment horizontal="center" vertical="top" wrapText="1"/>
      <protection locked="0"/>
    </xf>
    <xf numFmtId="1" fontId="4" fillId="52" borderId="86" xfId="0" applyNumberFormat="1" applyFont="1" applyFill="1" applyBorder="1" applyAlignment="1" applyProtection="1">
      <alignment horizontal="center" vertical="top" wrapText="1"/>
      <protection locked="0"/>
    </xf>
    <xf numFmtId="1" fontId="4" fillId="52" borderId="87" xfId="0" applyNumberFormat="1" applyFont="1" applyFill="1" applyBorder="1" applyAlignment="1" applyProtection="1">
      <alignment horizontal="center" vertical="top" wrapText="1"/>
      <protection locked="0"/>
    </xf>
    <xf numFmtId="0" fontId="3" fillId="43" borderId="59" xfId="0" applyFont="1" applyFill="1" applyBorder="1" applyAlignment="1" applyProtection="1">
      <alignment horizontal="center" vertical="center"/>
      <protection/>
    </xf>
    <xf numFmtId="0" fontId="3" fillId="43" borderId="79" xfId="0" applyFont="1" applyFill="1" applyBorder="1" applyAlignment="1" applyProtection="1">
      <alignment horizontal="center" vertical="center"/>
      <protection/>
    </xf>
    <xf numFmtId="0" fontId="3" fillId="43" borderId="80" xfId="0" applyFont="1" applyFill="1" applyBorder="1" applyAlignment="1" applyProtection="1">
      <alignment horizontal="center" vertical="center"/>
      <protection/>
    </xf>
    <xf numFmtId="14" fontId="6" fillId="0" borderId="59" xfId="0" applyNumberFormat="1" applyFont="1" applyFill="1" applyBorder="1" applyAlignment="1" applyProtection="1">
      <alignment horizontal="center" vertical="center"/>
      <protection locked="0"/>
    </xf>
    <xf numFmtId="14" fontId="6" fillId="0" borderId="79" xfId="0" applyNumberFormat="1" applyFont="1" applyFill="1" applyBorder="1" applyAlignment="1" applyProtection="1">
      <alignment horizontal="center" vertical="center"/>
      <protection locked="0"/>
    </xf>
    <xf numFmtId="14" fontId="6" fillId="0" borderId="80" xfId="0" applyNumberFormat="1" applyFont="1" applyFill="1" applyBorder="1" applyAlignment="1" applyProtection="1">
      <alignment horizontal="center" vertical="center"/>
      <protection locked="0"/>
    </xf>
    <xf numFmtId="0" fontId="3" fillId="43" borderId="59" xfId="0" applyFont="1" applyFill="1" applyBorder="1" applyAlignment="1" applyProtection="1">
      <alignment horizontal="left" vertical="center"/>
      <protection/>
    </xf>
    <xf numFmtId="0" fontId="3" fillId="43" borderId="79" xfId="0" applyFont="1" applyFill="1" applyBorder="1" applyAlignment="1" applyProtection="1">
      <alignment horizontal="left" vertical="center"/>
      <protection/>
    </xf>
    <xf numFmtId="0" fontId="3" fillId="43" borderId="80" xfId="0" applyFont="1" applyFill="1" applyBorder="1" applyAlignment="1" applyProtection="1">
      <alignment horizontal="left" vertical="center"/>
      <protection/>
    </xf>
    <xf numFmtId="0" fontId="4" fillId="52" borderId="59" xfId="0" applyFont="1" applyFill="1" applyBorder="1" applyAlignment="1" applyProtection="1">
      <alignment horizontal="left" vertical="top" wrapText="1"/>
      <protection locked="0"/>
    </xf>
    <xf numFmtId="0" fontId="4" fillId="52" borderId="79" xfId="0" applyFont="1" applyFill="1" applyBorder="1" applyAlignment="1" applyProtection="1">
      <alignment horizontal="left" vertical="top" wrapText="1"/>
      <protection locked="0"/>
    </xf>
    <xf numFmtId="0" fontId="4" fillId="52" borderId="80" xfId="0" applyFont="1" applyFill="1" applyBorder="1" applyAlignment="1" applyProtection="1">
      <alignment horizontal="left" vertical="top" wrapText="1"/>
      <protection locked="0"/>
    </xf>
    <xf numFmtId="0" fontId="4" fillId="52" borderId="30" xfId="0" applyFont="1" applyFill="1" applyBorder="1" applyAlignment="1" applyProtection="1">
      <alignment horizontal="left" vertical="top" wrapText="1"/>
      <protection locked="0"/>
    </xf>
    <xf numFmtId="0" fontId="4" fillId="52" borderId="0" xfId="0" applyFont="1" applyFill="1" applyBorder="1" applyAlignment="1" applyProtection="1">
      <alignment horizontal="left" vertical="top" wrapText="1"/>
      <protection locked="0"/>
    </xf>
    <xf numFmtId="0" fontId="4" fillId="52" borderId="55" xfId="0" applyFont="1" applyFill="1" applyBorder="1" applyAlignment="1" applyProtection="1">
      <alignment horizontal="left" vertical="top" wrapText="1"/>
      <protection locked="0"/>
    </xf>
    <xf numFmtId="14" fontId="3" fillId="52" borderId="59" xfId="0" applyNumberFormat="1" applyFont="1" applyFill="1" applyBorder="1" applyAlignment="1" applyProtection="1">
      <alignment horizontal="center" vertical="top" wrapText="1"/>
      <protection locked="0"/>
    </xf>
    <xf numFmtId="14" fontId="3" fillId="52" borderId="79" xfId="0" applyNumberFormat="1" applyFont="1" applyFill="1" applyBorder="1" applyAlignment="1" applyProtection="1">
      <alignment horizontal="center" vertical="top" wrapText="1"/>
      <protection locked="0"/>
    </xf>
    <xf numFmtId="14" fontId="3" fillId="52" borderId="80" xfId="0" applyNumberFormat="1" applyFont="1" applyFill="1" applyBorder="1" applyAlignment="1" applyProtection="1">
      <alignment horizontal="center" vertical="top" wrapText="1"/>
      <protection locked="0"/>
    </xf>
    <xf numFmtId="168" fontId="6" fillId="0" borderId="59" xfId="0" applyNumberFormat="1" applyFont="1" applyBorder="1" applyAlignment="1">
      <alignment horizontal="center" wrapText="1"/>
    </xf>
    <xf numFmtId="168" fontId="6" fillId="0" borderId="79" xfId="0" applyNumberFormat="1" applyFont="1" applyBorder="1" applyAlignment="1">
      <alignment horizontal="center" wrapText="1"/>
    </xf>
    <xf numFmtId="168" fontId="6" fillId="0" borderId="80" xfId="0" applyNumberFormat="1" applyFont="1" applyBorder="1" applyAlignment="1">
      <alignment horizontal="center" wrapText="1"/>
    </xf>
    <xf numFmtId="0" fontId="3" fillId="43" borderId="30" xfId="0" applyFont="1" applyFill="1" applyBorder="1" applyAlignment="1" applyProtection="1">
      <alignment horizontal="left" vertical="top" wrapText="1"/>
      <protection/>
    </xf>
    <xf numFmtId="0" fontId="3" fillId="43" borderId="0" xfId="0" applyFont="1" applyFill="1" applyBorder="1" applyAlignment="1" applyProtection="1">
      <alignment horizontal="left" vertical="top" wrapText="1"/>
      <protection/>
    </xf>
    <xf numFmtId="0" fontId="3" fillId="43" borderId="55" xfId="0" applyFont="1" applyFill="1" applyBorder="1" applyAlignment="1" applyProtection="1">
      <alignment horizontal="left" vertical="top" wrapText="1"/>
      <protection/>
    </xf>
    <xf numFmtId="14" fontId="6" fillId="0" borderId="59" xfId="0" applyNumberFormat="1" applyFont="1" applyBorder="1" applyAlignment="1">
      <alignment horizontal="center" wrapText="1"/>
    </xf>
    <xf numFmtId="14" fontId="6" fillId="0" borderId="79" xfId="0" applyNumberFormat="1" applyFont="1" applyBorder="1" applyAlignment="1">
      <alignment horizontal="center" wrapText="1"/>
    </xf>
    <xf numFmtId="14" fontId="6" fillId="0" borderId="80" xfId="0" applyNumberFormat="1" applyFont="1" applyBorder="1" applyAlignment="1">
      <alignment horizontal="center" wrapText="1"/>
    </xf>
    <xf numFmtId="0" fontId="6" fillId="0" borderId="59" xfId="0" applyFont="1" applyBorder="1" applyAlignment="1">
      <alignment horizontal="center" wrapText="1"/>
    </xf>
    <xf numFmtId="0" fontId="6" fillId="0" borderId="79" xfId="0" applyFont="1" applyBorder="1" applyAlignment="1">
      <alignment horizontal="center" wrapText="1"/>
    </xf>
    <xf numFmtId="0" fontId="6" fillId="0" borderId="80" xfId="0" applyFont="1" applyBorder="1" applyAlignment="1">
      <alignment horizontal="center" wrapText="1"/>
    </xf>
    <xf numFmtId="0" fontId="0" fillId="42" borderId="88" xfId="0" applyNumberFormat="1" applyFont="1" applyFill="1" applyBorder="1" applyAlignment="1" applyProtection="1">
      <alignment horizontal="left"/>
      <protection locked="0"/>
    </xf>
    <xf numFmtId="0" fontId="0" fillId="42" borderId="88" xfId="0" applyNumberFormat="1" applyFont="1" applyFill="1" applyBorder="1" applyAlignment="1" applyProtection="1">
      <alignment horizontal="left"/>
      <protection locked="0"/>
    </xf>
    <xf numFmtId="168" fontId="0" fillId="43" borderId="88" xfId="0" applyNumberFormat="1" applyFont="1" applyFill="1" applyBorder="1" applyAlignment="1" applyProtection="1">
      <alignment horizontal="left"/>
      <protection/>
    </xf>
    <xf numFmtId="49" fontId="0" fillId="42" borderId="88" xfId="0" applyNumberFormat="1" applyFill="1" applyBorder="1" applyAlignment="1" applyProtection="1">
      <alignment horizontal="center"/>
      <protection locked="0"/>
    </xf>
    <xf numFmtId="49" fontId="0" fillId="42" borderId="89" xfId="0" applyNumberFormat="1" applyFill="1" applyBorder="1" applyAlignment="1" applyProtection="1">
      <alignment horizontal="center"/>
      <protection locked="0"/>
    </xf>
    <xf numFmtId="0" fontId="0" fillId="42" borderId="9" xfId="0" applyNumberFormat="1" applyFont="1" applyFill="1" applyBorder="1" applyAlignment="1" applyProtection="1">
      <alignment horizontal="left"/>
      <protection locked="0"/>
    </xf>
    <xf numFmtId="0" fontId="0" fillId="42" borderId="28" xfId="0" applyNumberFormat="1"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42" borderId="9" xfId="0" applyFill="1" applyBorder="1" applyAlignment="1" applyProtection="1">
      <alignment horizontal="left"/>
      <protection locked="0"/>
    </xf>
    <xf numFmtId="168" fontId="0" fillId="42" borderId="9" xfId="0" applyNumberFormat="1" applyFont="1" applyFill="1" applyBorder="1" applyAlignment="1" applyProtection="1">
      <alignment horizontal="left"/>
      <protection locked="0"/>
    </xf>
    <xf numFmtId="0" fontId="0" fillId="42" borderId="9" xfId="0" applyFill="1" applyBorder="1" applyAlignment="1" applyProtection="1">
      <alignment/>
      <protection locked="0"/>
    </xf>
    <xf numFmtId="168" fontId="0" fillId="43" borderId="9" xfId="0" applyNumberFormat="1" applyFill="1" applyBorder="1" applyAlignment="1" applyProtection="1">
      <alignment/>
      <protection/>
    </xf>
    <xf numFmtId="168" fontId="0" fillId="42" borderId="9" xfId="0" applyNumberFormat="1" applyFill="1" applyBorder="1" applyAlignment="1" applyProtection="1">
      <alignment horizontal="center"/>
      <protection locked="0"/>
    </xf>
    <xf numFmtId="168" fontId="0" fillId="42" borderId="28" xfId="0" applyNumberFormat="1" applyFill="1" applyBorder="1" applyAlignment="1" applyProtection="1">
      <alignment horizontal="center"/>
      <protection locked="0"/>
    </xf>
    <xf numFmtId="0" fontId="17" fillId="42" borderId="9" xfId="52" applyFill="1" applyBorder="1" applyAlignment="1" applyProtection="1">
      <alignment horizontal="left"/>
      <protection locked="0"/>
    </xf>
    <xf numFmtId="0" fontId="0" fillId="43" borderId="9" xfId="0" applyFont="1" applyFill="1" applyBorder="1" applyAlignment="1" applyProtection="1">
      <alignment horizontal="center"/>
      <protection/>
    </xf>
    <xf numFmtId="0" fontId="17" fillId="42" borderId="28" xfId="52" applyFill="1" applyBorder="1" applyAlignment="1" applyProtection="1">
      <alignment horizontal="left"/>
      <protection locked="0"/>
    </xf>
    <xf numFmtId="0" fontId="0" fillId="42" borderId="9" xfId="0" applyFont="1" applyFill="1" applyBorder="1" applyAlignment="1" applyProtection="1">
      <alignment horizontal="left"/>
      <protection locked="0"/>
    </xf>
    <xf numFmtId="49" fontId="0" fillId="43" borderId="9" xfId="0" applyNumberFormat="1" applyFont="1" applyFill="1" applyBorder="1" applyAlignment="1" applyProtection="1">
      <alignment horizontal="center"/>
      <protection/>
    </xf>
    <xf numFmtId="49" fontId="0" fillId="43" borderId="28" xfId="0" applyNumberFormat="1" applyFont="1" applyFill="1" applyBorder="1" applyAlignment="1" applyProtection="1">
      <alignment horizontal="center"/>
      <protection/>
    </xf>
    <xf numFmtId="168" fontId="0" fillId="42" borderId="9" xfId="0" applyNumberFormat="1" applyFill="1" applyBorder="1" applyAlignment="1" applyProtection="1">
      <alignment horizontal="left"/>
      <protection locked="0"/>
    </xf>
    <xf numFmtId="168" fontId="0" fillId="42" borderId="16" xfId="0" applyNumberFormat="1" applyFill="1" applyBorder="1" applyAlignment="1" applyProtection="1">
      <alignment horizontal="left"/>
      <protection locked="0"/>
    </xf>
    <xf numFmtId="0" fontId="17" fillId="42" borderId="9" xfId="52" applyNumberFormat="1" applyFill="1" applyBorder="1" applyAlignment="1" applyProtection="1">
      <alignment horizontal="left"/>
      <protection locked="0"/>
    </xf>
    <xf numFmtId="0" fontId="38" fillId="42" borderId="9" xfId="0" applyNumberFormat="1" applyFont="1" applyFill="1" applyBorder="1" applyAlignment="1" applyProtection="1">
      <alignment horizontal="left"/>
      <protection locked="0"/>
    </xf>
    <xf numFmtId="0" fontId="38" fillId="42" borderId="28" xfId="0" applyNumberFormat="1" applyFont="1" applyFill="1" applyBorder="1" applyAlignment="1" applyProtection="1">
      <alignment horizontal="left"/>
      <protection locked="0"/>
    </xf>
    <xf numFmtId="0" fontId="3" fillId="43" borderId="0" xfId="0" applyFont="1" applyFill="1" applyBorder="1" applyAlignment="1" applyProtection="1">
      <alignment horizontal="left" vertical="top"/>
      <protection/>
    </xf>
    <xf numFmtId="0" fontId="3" fillId="43" borderId="30" xfId="0" applyFont="1" applyFill="1" applyBorder="1" applyAlignment="1" applyProtection="1">
      <alignment horizontal="center" vertical="center"/>
      <protection/>
    </xf>
    <xf numFmtId="0" fontId="3" fillId="43" borderId="0" xfId="0" applyFont="1" applyFill="1" applyBorder="1" applyAlignment="1" applyProtection="1">
      <alignment horizontal="center" vertical="center"/>
      <protection/>
    </xf>
    <xf numFmtId="0" fontId="3" fillId="43" borderId="53" xfId="0" applyFont="1" applyFill="1" applyBorder="1" applyAlignment="1" applyProtection="1">
      <alignment horizontal="center" vertical="center"/>
      <protection/>
    </xf>
    <xf numFmtId="0" fontId="3" fillId="43" borderId="71" xfId="0" applyFont="1" applyFill="1" applyBorder="1" applyAlignment="1" applyProtection="1">
      <alignment horizontal="center" vertical="center"/>
      <protection/>
    </xf>
    <xf numFmtId="0" fontId="3" fillId="43" borderId="54" xfId="0" applyFont="1" applyFill="1" applyBorder="1" applyAlignment="1" applyProtection="1">
      <alignment horizontal="center" vertical="center"/>
      <protection/>
    </xf>
    <xf numFmtId="0" fontId="0" fillId="43" borderId="90" xfId="0" applyFont="1" applyFill="1" applyBorder="1" applyAlignment="1" applyProtection="1">
      <alignment horizontal="left" wrapText="1"/>
      <protection/>
    </xf>
    <xf numFmtId="0" fontId="3" fillId="43" borderId="79" xfId="0" applyFont="1" applyFill="1" applyBorder="1" applyAlignment="1" applyProtection="1">
      <alignment horizontal="left" vertical="top"/>
      <protection/>
    </xf>
    <xf numFmtId="0" fontId="3" fillId="43" borderId="71" xfId="0" applyFont="1" applyFill="1" applyBorder="1" applyAlignment="1" applyProtection="1">
      <alignment horizontal="left" vertical="top"/>
      <protection/>
    </xf>
    <xf numFmtId="0" fontId="0" fillId="42" borderId="9" xfId="0" applyFill="1" applyBorder="1" applyAlignment="1" applyProtection="1">
      <alignment horizontal="center"/>
      <protection/>
    </xf>
    <xf numFmtId="0" fontId="0" fillId="42" borderId="28" xfId="0" applyFill="1" applyBorder="1" applyAlignment="1" applyProtection="1">
      <alignment horizontal="center"/>
      <protection/>
    </xf>
    <xf numFmtId="0" fontId="81" fillId="43" borderId="91" xfId="0" applyFont="1" applyFill="1" applyBorder="1" applyAlignment="1" applyProtection="1">
      <alignment horizontal="left" wrapText="1"/>
      <protection/>
    </xf>
    <xf numFmtId="49" fontId="0" fillId="42" borderId="91" xfId="0" applyNumberFormat="1" applyFill="1" applyBorder="1" applyAlignment="1" applyProtection="1">
      <alignment horizontal="center"/>
      <protection/>
    </xf>
    <xf numFmtId="49" fontId="0" fillId="42" borderId="92" xfId="0" applyNumberFormat="1" applyFill="1" applyBorder="1" applyAlignment="1" applyProtection="1">
      <alignment horizontal="center"/>
      <protection/>
    </xf>
    <xf numFmtId="0" fontId="0" fillId="42" borderId="9" xfId="0" applyFill="1" applyBorder="1" applyAlignment="1" applyProtection="1">
      <alignment horizontal="center"/>
      <protection locked="0"/>
    </xf>
    <xf numFmtId="0" fontId="0" fillId="42" borderId="91" xfId="0" applyNumberFormat="1" applyFont="1" applyFill="1" applyBorder="1" applyAlignment="1" applyProtection="1">
      <alignment horizontal="center"/>
      <protection locked="0"/>
    </xf>
    <xf numFmtId="0" fontId="0" fillId="42" borderId="91" xfId="0" applyNumberFormat="1" applyFont="1" applyFill="1" applyBorder="1" applyAlignment="1" applyProtection="1">
      <alignment horizontal="center"/>
      <protection locked="0"/>
    </xf>
    <xf numFmtId="0" fontId="0" fillId="43" borderId="93" xfId="0" applyFont="1" applyFill="1" applyBorder="1" applyAlignment="1" applyProtection="1">
      <alignment horizontal="center"/>
      <protection/>
    </xf>
    <xf numFmtId="0" fontId="0" fillId="43" borderId="94" xfId="0" applyFont="1" applyFill="1" applyBorder="1" applyAlignment="1" applyProtection="1">
      <alignment horizontal="center"/>
      <protection/>
    </xf>
    <xf numFmtId="0" fontId="31" fillId="43" borderId="0" xfId="0" applyFont="1" applyFill="1" applyBorder="1" applyAlignment="1" applyProtection="1">
      <alignment horizontal="left" wrapText="1"/>
      <protection/>
    </xf>
    <xf numFmtId="0" fontId="31" fillId="43" borderId="71" xfId="0" applyFont="1" applyFill="1" applyBorder="1" applyAlignment="1" applyProtection="1">
      <alignment horizontal="left" wrapText="1"/>
      <protection/>
    </xf>
    <xf numFmtId="0" fontId="0" fillId="43" borderId="95" xfId="0" applyFont="1" applyFill="1" applyBorder="1" applyAlignment="1" applyProtection="1">
      <alignment horizontal="center"/>
      <protection/>
    </xf>
    <xf numFmtId="0" fontId="0" fillId="43" borderId="96" xfId="0" applyFont="1" applyFill="1" applyBorder="1" applyAlignment="1" applyProtection="1">
      <alignment horizontal="center"/>
      <protection/>
    </xf>
    <xf numFmtId="0" fontId="0" fillId="43" borderId="97" xfId="0" applyFont="1" applyFill="1" applyBorder="1" applyAlignment="1" applyProtection="1">
      <alignment horizontal="center"/>
      <protection/>
    </xf>
    <xf numFmtId="0" fontId="0" fillId="43" borderId="84" xfId="0" applyFont="1" applyFill="1" applyBorder="1" applyAlignment="1" applyProtection="1">
      <alignment horizontal="center"/>
      <protection/>
    </xf>
    <xf numFmtId="0" fontId="31" fillId="43" borderId="0" xfId="0" applyFont="1" applyFill="1" applyBorder="1" applyAlignment="1" applyProtection="1">
      <alignment horizontal="left" vertical="center" wrapText="1"/>
      <protection/>
    </xf>
    <xf numFmtId="0" fontId="3" fillId="42" borderId="15" xfId="0" applyFont="1" applyFill="1" applyBorder="1" applyAlignment="1" applyProtection="1">
      <alignment horizontal="left" vertical="center"/>
      <protection locked="0"/>
    </xf>
    <xf numFmtId="0" fontId="3" fillId="42" borderId="16" xfId="0" applyFont="1" applyFill="1" applyBorder="1" applyAlignment="1" applyProtection="1">
      <alignment horizontal="left" vertical="center"/>
      <protection locked="0"/>
    </xf>
    <xf numFmtId="2" fontId="0" fillId="42" borderId="35" xfId="0" applyNumberFormat="1" applyFont="1" applyFill="1" applyBorder="1" applyAlignment="1" applyProtection="1">
      <alignment horizontal="right" vertical="center"/>
      <protection locked="0"/>
    </xf>
    <xf numFmtId="2" fontId="0" fillId="42" borderId="75" xfId="0" applyNumberFormat="1" applyFill="1" applyBorder="1" applyAlignment="1" applyProtection="1">
      <alignment horizontal="right" vertical="center"/>
      <protection locked="0"/>
    </xf>
    <xf numFmtId="168" fontId="0" fillId="43" borderId="9" xfId="0" applyNumberFormat="1" applyFont="1" applyFill="1" applyBorder="1" applyAlignment="1" applyProtection="1">
      <alignment horizontal="left"/>
      <protection/>
    </xf>
    <xf numFmtId="168" fontId="0" fillId="43" borderId="9" xfId="0" applyNumberFormat="1" applyFill="1" applyBorder="1" applyAlignment="1" applyProtection="1">
      <alignment horizontal="left"/>
      <protection/>
    </xf>
    <xf numFmtId="38" fontId="0" fillId="43" borderId="34" xfId="0" applyNumberFormat="1" applyFont="1" applyFill="1" applyBorder="1" applyAlignment="1" applyProtection="1">
      <alignment horizontal="right" vertical="center"/>
      <protection/>
    </xf>
    <xf numFmtId="0" fontId="0" fillId="53" borderId="98" xfId="0" applyFill="1" applyBorder="1" applyAlignment="1" applyProtection="1">
      <alignment horizontal="right" vertical="center"/>
      <protection/>
    </xf>
    <xf numFmtId="0" fontId="3" fillId="43" borderId="24" xfId="0" applyFont="1" applyFill="1" applyBorder="1" applyAlignment="1" applyProtection="1">
      <alignment horizontal="center" vertical="center"/>
      <protection/>
    </xf>
    <xf numFmtId="0" fontId="3" fillId="43" borderId="25" xfId="0" applyFont="1" applyFill="1" applyBorder="1" applyAlignment="1" applyProtection="1">
      <alignment horizontal="center" vertical="center"/>
      <protection/>
    </xf>
    <xf numFmtId="0" fontId="3" fillId="43" borderId="24" xfId="0" applyFont="1" applyFill="1" applyBorder="1" applyAlignment="1" applyProtection="1">
      <alignment horizontal="center"/>
      <protection/>
    </xf>
    <xf numFmtId="0" fontId="4" fillId="43" borderId="86" xfId="0" applyFont="1" applyFill="1" applyBorder="1" applyAlignment="1" applyProtection="1">
      <alignment horizontal="center"/>
      <protection/>
    </xf>
    <xf numFmtId="0" fontId="0" fillId="42" borderId="59" xfId="0" applyFont="1" applyFill="1" applyBorder="1" applyAlignment="1" applyProtection="1">
      <alignment horizontal="left" vertical="top" wrapText="1"/>
      <protection locked="0"/>
    </xf>
    <xf numFmtId="0" fontId="0" fillId="42" borderId="79" xfId="0" applyFill="1" applyBorder="1" applyAlignment="1" applyProtection="1">
      <alignment horizontal="left" vertical="top" wrapText="1"/>
      <protection locked="0"/>
    </xf>
    <xf numFmtId="0" fontId="0" fillId="42" borderId="80" xfId="0" applyFill="1" applyBorder="1" applyAlignment="1" applyProtection="1">
      <alignment horizontal="left" vertical="top" wrapText="1"/>
      <protection locked="0"/>
    </xf>
    <xf numFmtId="0" fontId="0" fillId="42" borderId="30" xfId="0" applyFill="1" applyBorder="1" applyAlignment="1" applyProtection="1">
      <alignment horizontal="left" vertical="top" wrapText="1"/>
      <protection locked="0"/>
    </xf>
    <xf numFmtId="0" fontId="0" fillId="42" borderId="0" xfId="0" applyFill="1" applyBorder="1" applyAlignment="1" applyProtection="1">
      <alignment horizontal="left" vertical="top" wrapText="1"/>
      <protection locked="0"/>
    </xf>
    <xf numFmtId="0" fontId="0" fillId="42" borderId="55" xfId="0" applyFill="1" applyBorder="1" applyAlignment="1" applyProtection="1">
      <alignment horizontal="left" vertical="top" wrapText="1"/>
      <protection locked="0"/>
    </xf>
    <xf numFmtId="0" fontId="0" fillId="42" borderId="53" xfId="0" applyFill="1" applyBorder="1" applyAlignment="1" applyProtection="1">
      <alignment horizontal="left" vertical="top" wrapText="1"/>
      <protection locked="0"/>
    </xf>
    <xf numFmtId="0" fontId="0" fillId="42" borderId="71" xfId="0" applyFill="1" applyBorder="1" applyAlignment="1" applyProtection="1">
      <alignment horizontal="left" vertical="top" wrapText="1"/>
      <protection locked="0"/>
    </xf>
    <xf numFmtId="0" fontId="0" fillId="42" borderId="54" xfId="0" applyFill="1" applyBorder="1" applyAlignment="1" applyProtection="1">
      <alignment horizontal="left" vertical="top" wrapText="1"/>
      <protection locked="0"/>
    </xf>
    <xf numFmtId="0" fontId="4" fillId="43" borderId="0" xfId="0" applyFont="1" applyFill="1" applyBorder="1" applyAlignment="1" applyProtection="1">
      <alignment horizontal="left" vertical="top"/>
      <protection/>
    </xf>
    <xf numFmtId="0" fontId="3" fillId="43" borderId="86" xfId="0" applyFont="1" applyFill="1" applyBorder="1" applyAlignment="1" applyProtection="1">
      <alignment horizontal="center"/>
      <protection/>
    </xf>
    <xf numFmtId="0" fontId="3" fillId="43" borderId="87" xfId="0" applyFont="1" applyFill="1" applyBorder="1" applyAlignment="1" applyProtection="1">
      <alignment horizontal="center"/>
      <protection/>
    </xf>
    <xf numFmtId="0" fontId="3" fillId="52" borderId="59" xfId="0" applyFont="1" applyFill="1" applyBorder="1" applyAlignment="1" applyProtection="1">
      <alignment horizontal="left" vertical="top" wrapText="1"/>
      <protection locked="0"/>
    </xf>
    <xf numFmtId="0" fontId="3" fillId="52" borderId="79" xfId="0" applyFont="1" applyFill="1" applyBorder="1" applyAlignment="1" applyProtection="1">
      <alignment horizontal="left" vertical="top" wrapText="1"/>
      <protection locked="0"/>
    </xf>
    <xf numFmtId="0" fontId="3" fillId="52" borderId="80" xfId="0" applyFont="1" applyFill="1" applyBorder="1" applyAlignment="1" applyProtection="1">
      <alignment horizontal="left" vertical="top" wrapText="1"/>
      <protection locked="0"/>
    </xf>
    <xf numFmtId="0" fontId="3" fillId="52" borderId="53" xfId="0" applyFont="1" applyFill="1" applyBorder="1" applyAlignment="1" applyProtection="1">
      <alignment horizontal="left" vertical="top" wrapText="1"/>
      <protection locked="0"/>
    </xf>
    <xf numFmtId="0" fontId="3" fillId="52" borderId="71" xfId="0" applyFont="1" applyFill="1" applyBorder="1" applyAlignment="1" applyProtection="1">
      <alignment horizontal="left" vertical="top" wrapText="1"/>
      <protection locked="0"/>
    </xf>
    <xf numFmtId="0" fontId="3" fillId="52" borderId="54" xfId="0" applyFont="1" applyFill="1" applyBorder="1" applyAlignment="1" applyProtection="1">
      <alignment horizontal="left" vertical="top" wrapText="1"/>
      <protection locked="0"/>
    </xf>
    <xf numFmtId="0" fontId="3" fillId="42" borderId="21" xfId="0" applyFont="1" applyFill="1" applyBorder="1" applyAlignment="1" applyProtection="1">
      <alignment horizontal="left" vertical="center"/>
      <protection locked="0"/>
    </xf>
    <xf numFmtId="0" fontId="3" fillId="42" borderId="22" xfId="0" applyFont="1" applyFill="1" applyBorder="1" applyAlignment="1" applyProtection="1">
      <alignment horizontal="left" vertical="center"/>
      <protection locked="0"/>
    </xf>
    <xf numFmtId="49" fontId="0" fillId="42" borderId="9" xfId="0" applyNumberFormat="1" applyFont="1" applyFill="1" applyBorder="1" applyAlignment="1" applyProtection="1">
      <alignment horizontal="center"/>
      <protection locked="0"/>
    </xf>
    <xf numFmtId="49" fontId="0" fillId="42" borderId="28" xfId="0" applyNumberFormat="1" applyFill="1" applyBorder="1" applyAlignment="1" applyProtection="1">
      <alignment horizontal="center"/>
      <protection locked="0"/>
    </xf>
    <xf numFmtId="0" fontId="0" fillId="43" borderId="99" xfId="0" applyFont="1" applyFill="1" applyBorder="1" applyAlignment="1" applyProtection="1">
      <alignment horizontal="left" vertical="center"/>
      <protection/>
    </xf>
    <xf numFmtId="0" fontId="0" fillId="43" borderId="100" xfId="0" applyFont="1" applyFill="1" applyBorder="1" applyAlignment="1" applyProtection="1">
      <alignment horizontal="left" vertical="center"/>
      <protection/>
    </xf>
    <xf numFmtId="0" fontId="0" fillId="42" borderId="9" xfId="0" applyFont="1" applyFill="1" applyBorder="1" applyAlignment="1" applyProtection="1">
      <alignment horizontal="left"/>
      <protection locked="0"/>
    </xf>
    <xf numFmtId="0" fontId="0" fillId="43" borderId="29" xfId="0" applyNumberFormat="1" applyFont="1" applyFill="1" applyBorder="1" applyAlignment="1" applyProtection="1">
      <alignment horizontal="center"/>
      <protection/>
    </xf>
    <xf numFmtId="0" fontId="0" fillId="0" borderId="16" xfId="0" applyBorder="1" applyAlignment="1" applyProtection="1">
      <alignment/>
      <protection/>
    </xf>
    <xf numFmtId="0" fontId="0" fillId="42" borderId="9" xfId="0" applyNumberFormat="1" applyFont="1" applyFill="1" applyBorder="1" applyAlignment="1" applyProtection="1">
      <alignment horizontal="left"/>
      <protection locked="0"/>
    </xf>
    <xf numFmtId="168" fontId="0" fillId="42" borderId="9" xfId="0" applyNumberFormat="1" applyFont="1" applyFill="1" applyBorder="1" applyAlignment="1" applyProtection="1">
      <alignment horizontal="left"/>
      <protection locked="0"/>
    </xf>
    <xf numFmtId="49" fontId="0" fillId="43" borderId="88" xfId="0" applyNumberFormat="1" applyFont="1" applyFill="1" applyBorder="1" applyAlignment="1" applyProtection="1">
      <alignment horizontal="center"/>
      <protection/>
    </xf>
    <xf numFmtId="49" fontId="0" fillId="43" borderId="89" xfId="0" applyNumberFormat="1" applyFont="1" applyFill="1" applyBorder="1" applyAlignment="1" applyProtection="1">
      <alignment horizontal="center"/>
      <protection/>
    </xf>
    <xf numFmtId="2" fontId="0" fillId="42" borderId="61" xfId="0" applyNumberFormat="1" applyFont="1" applyFill="1" applyBorder="1" applyAlignment="1" applyProtection="1">
      <alignment horizontal="right" vertical="center"/>
      <protection locked="0"/>
    </xf>
    <xf numFmtId="2" fontId="0" fillId="42" borderId="101" xfId="0" applyNumberFormat="1" applyFill="1" applyBorder="1" applyAlignment="1" applyProtection="1">
      <alignment horizontal="right" vertical="center"/>
      <protection locked="0"/>
    </xf>
    <xf numFmtId="0" fontId="0" fillId="42" borderId="9" xfId="0" applyNumberFormat="1" applyFill="1" applyBorder="1" applyAlignment="1" applyProtection="1">
      <alignment horizontal="center"/>
      <protection locked="0"/>
    </xf>
    <xf numFmtId="0" fontId="81" fillId="43" borderId="92" xfId="0" applyFont="1" applyFill="1" applyBorder="1" applyAlignment="1" applyProtection="1">
      <alignment horizontal="left" wrapText="1"/>
      <protection/>
    </xf>
    <xf numFmtId="0" fontId="3" fillId="42" borderId="19" xfId="0" applyFont="1" applyFill="1" applyBorder="1" applyAlignment="1" applyProtection="1">
      <alignment horizontal="left" vertical="center"/>
      <protection locked="0"/>
    </xf>
    <xf numFmtId="0" fontId="3" fillId="42" borderId="20" xfId="0" applyFont="1" applyFill="1" applyBorder="1" applyAlignment="1" applyProtection="1">
      <alignment horizontal="left" vertical="center"/>
      <protection locked="0"/>
    </xf>
    <xf numFmtId="0" fontId="3" fillId="43" borderId="71" xfId="0" applyFont="1" applyFill="1" applyBorder="1" applyAlignment="1" applyProtection="1">
      <alignment horizontal="left" vertical="top" wrapText="1"/>
      <protection/>
    </xf>
    <xf numFmtId="0" fontId="3" fillId="43" borderId="27" xfId="0" applyFont="1" applyFill="1" applyBorder="1" applyAlignment="1" applyProtection="1">
      <alignment horizontal="center" vertical="top" wrapText="1"/>
      <protection/>
    </xf>
    <xf numFmtId="0" fontId="3" fillId="43" borderId="25" xfId="0" applyFont="1" applyFill="1" applyBorder="1" applyAlignment="1" applyProtection="1">
      <alignment horizontal="center" vertical="top" wrapText="1"/>
      <protection/>
    </xf>
    <xf numFmtId="0" fontId="0" fillId="43" borderId="61" xfId="0" applyNumberFormat="1" applyFont="1" applyFill="1" applyBorder="1" applyAlignment="1" applyProtection="1">
      <alignment horizontal="center" vertical="center"/>
      <protection/>
    </xf>
    <xf numFmtId="0" fontId="0" fillId="0" borderId="66" xfId="0" applyBorder="1" applyAlignment="1" applyProtection="1">
      <alignment/>
      <protection/>
    </xf>
    <xf numFmtId="0" fontId="0" fillId="0" borderId="101" xfId="0" applyBorder="1" applyAlignment="1" applyProtection="1">
      <alignment/>
      <protection/>
    </xf>
    <xf numFmtId="0" fontId="0" fillId="0" borderId="102" xfId="0" applyBorder="1" applyAlignment="1" applyProtection="1">
      <alignment/>
      <protection/>
    </xf>
    <xf numFmtId="0" fontId="0" fillId="42" borderId="9" xfId="0" applyNumberFormat="1" applyFill="1" applyBorder="1" applyAlignment="1" applyProtection="1">
      <alignment/>
      <protection locked="0"/>
    </xf>
    <xf numFmtId="0" fontId="0" fillId="0" borderId="9" xfId="0" applyFont="1" applyFill="1" applyBorder="1" applyAlignment="1" applyProtection="1">
      <alignment horizontal="left"/>
      <protection locked="0"/>
    </xf>
    <xf numFmtId="0" fontId="0" fillId="43" borderId="72" xfId="0" applyNumberFormat="1" applyFont="1" applyFill="1" applyBorder="1" applyAlignment="1" applyProtection="1">
      <alignment horizontal="center"/>
      <protection/>
    </xf>
    <xf numFmtId="0" fontId="0" fillId="0" borderId="20" xfId="0" applyBorder="1" applyAlignment="1" applyProtection="1">
      <alignment/>
      <protection/>
    </xf>
    <xf numFmtId="0" fontId="0" fillId="35" borderId="71" xfId="0" applyFont="1" applyFill="1" applyBorder="1" applyAlignment="1">
      <alignment horizontal="center"/>
    </xf>
    <xf numFmtId="0" fontId="0" fillId="35" borderId="54" xfId="0" applyFont="1" applyFill="1" applyBorder="1" applyAlignment="1">
      <alignment horizontal="center"/>
    </xf>
    <xf numFmtId="0" fontId="0" fillId="35" borderId="15" xfId="0" applyFont="1" applyFill="1" applyBorder="1" applyAlignment="1">
      <alignment horizontal="left"/>
    </xf>
    <xf numFmtId="0" fontId="0" fillId="0" borderId="9" xfId="0" applyBorder="1" applyAlignment="1">
      <alignment/>
    </xf>
    <xf numFmtId="0" fontId="0" fillId="0" borderId="16" xfId="0" applyBorder="1" applyAlignment="1">
      <alignment/>
    </xf>
    <xf numFmtId="0" fontId="0" fillId="35" borderId="58" xfId="0" applyFont="1" applyFill="1" applyBorder="1" applyAlignment="1">
      <alignment horizontal="left"/>
    </xf>
    <xf numFmtId="0" fontId="0" fillId="0" borderId="103" xfId="0" applyBorder="1" applyAlignment="1">
      <alignment/>
    </xf>
    <xf numFmtId="0" fontId="0" fillId="0" borderId="60" xfId="0" applyBorder="1" applyAlignment="1">
      <alignment/>
    </xf>
    <xf numFmtId="0" fontId="0" fillId="0" borderId="16" xfId="0" applyFont="1" applyFill="1" applyBorder="1" applyAlignment="1" applyProtection="1">
      <alignment horizontal="left"/>
      <protection locked="0"/>
    </xf>
    <xf numFmtId="0" fontId="6" fillId="35" borderId="15" xfId="0" applyFont="1" applyFill="1" applyBorder="1" applyAlignment="1">
      <alignment horizontal="left"/>
    </xf>
    <xf numFmtId="0" fontId="6" fillId="35" borderId="9" xfId="0" applyFont="1" applyFill="1" applyBorder="1" applyAlignment="1">
      <alignment horizontal="left"/>
    </xf>
    <xf numFmtId="0" fontId="6" fillId="35" borderId="28" xfId="0" applyFont="1" applyFill="1" applyBorder="1" applyAlignment="1">
      <alignment horizontal="left"/>
    </xf>
    <xf numFmtId="0" fontId="0" fillId="0" borderId="9" xfId="0" applyBorder="1" applyAlignment="1">
      <alignment horizontal="left"/>
    </xf>
    <xf numFmtId="0" fontId="0" fillId="0" borderId="16" xfId="0" applyBorder="1" applyAlignment="1">
      <alignment horizontal="left"/>
    </xf>
    <xf numFmtId="0" fontId="6" fillId="35" borderId="91" xfId="0" applyFont="1" applyFill="1" applyBorder="1" applyAlignment="1">
      <alignment horizontal="left"/>
    </xf>
    <xf numFmtId="0" fontId="6" fillId="35" borderId="92" xfId="0" applyFont="1" applyFill="1" applyBorder="1" applyAlignment="1">
      <alignment horizontal="left"/>
    </xf>
    <xf numFmtId="0" fontId="3" fillId="35" borderId="24" xfId="0" applyFont="1" applyFill="1" applyBorder="1" applyAlignment="1">
      <alignment horizontal="left"/>
    </xf>
    <xf numFmtId="0" fontId="0" fillId="0" borderId="86" xfId="0" applyBorder="1" applyAlignment="1">
      <alignment horizontal="left"/>
    </xf>
    <xf numFmtId="0" fontId="0" fillId="0" borderId="25" xfId="0" applyBorder="1" applyAlignment="1">
      <alignment horizontal="left"/>
    </xf>
    <xf numFmtId="0" fontId="3" fillId="35" borderId="24" xfId="0" applyFont="1" applyFill="1" applyBorder="1" applyAlignment="1">
      <alignment horizontal="right"/>
    </xf>
    <xf numFmtId="0" fontId="0" fillId="0" borderId="25" xfId="0" applyBorder="1" applyAlignment="1">
      <alignment/>
    </xf>
    <xf numFmtId="0" fontId="21" fillId="35" borderId="71" xfId="0" applyFont="1" applyFill="1" applyBorder="1" applyAlignment="1">
      <alignment horizontal="right" vertical="center"/>
    </xf>
    <xf numFmtId="0" fontId="10" fillId="35" borderId="24" xfId="0" applyFont="1" applyFill="1" applyBorder="1" applyAlignment="1">
      <alignment horizontal="left" vertical="center"/>
    </xf>
    <xf numFmtId="0" fontId="0" fillId="0" borderId="25" xfId="0" applyBorder="1" applyAlignment="1">
      <alignment horizontal="left" vertical="center"/>
    </xf>
    <xf numFmtId="0" fontId="10" fillId="35" borderId="24" xfId="0" applyFont="1" applyFill="1" applyBorder="1" applyAlignment="1" applyProtection="1">
      <alignment horizontal="left" wrapText="1"/>
      <protection/>
    </xf>
    <xf numFmtId="0" fontId="0" fillId="0" borderId="25" xfId="0" applyBorder="1" applyAlignment="1">
      <alignment horizontal="left" wrapText="1"/>
    </xf>
    <xf numFmtId="0" fontId="10" fillId="35" borderId="24" xfId="0" applyFont="1" applyFill="1" applyBorder="1" applyAlignment="1" applyProtection="1">
      <alignment horizontal="left" vertical="center"/>
      <protection/>
    </xf>
    <xf numFmtId="7" fontId="2" fillId="0" borderId="40" xfId="0" applyNumberFormat="1" applyFont="1" applyBorder="1" applyAlignment="1" applyProtection="1">
      <alignment horizontal="center" vertical="top" wrapText="1"/>
      <protection/>
    </xf>
    <xf numFmtId="7" fontId="2" fillId="0" borderId="97" xfId="0" applyNumberFormat="1" applyFont="1" applyBorder="1" applyAlignment="1" applyProtection="1">
      <alignment horizontal="center" vertical="top" wrapText="1"/>
      <protection/>
    </xf>
    <xf numFmtId="7" fontId="2" fillId="0" borderId="104" xfId="0" applyNumberFormat="1" applyFont="1" applyBorder="1" applyAlignment="1" applyProtection="1">
      <alignment horizontal="center" vertical="top" wrapText="1"/>
      <protection/>
    </xf>
    <xf numFmtId="7" fontId="25" fillId="0" borderId="40" xfId="0" applyNumberFormat="1" applyFont="1" applyBorder="1" applyAlignment="1" applyProtection="1">
      <alignment horizontal="center"/>
      <protection/>
    </xf>
    <xf numFmtId="7" fontId="25" fillId="0" borderId="97" xfId="0" applyNumberFormat="1" applyFont="1" applyBorder="1" applyAlignment="1" applyProtection="1">
      <alignment horizontal="center"/>
      <protection/>
    </xf>
    <xf numFmtId="7" fontId="25" fillId="0" borderId="104" xfId="0" applyNumberFormat="1" applyFont="1" applyBorder="1" applyAlignment="1" applyProtection="1">
      <alignment horizontal="center"/>
      <protection/>
    </xf>
    <xf numFmtId="0" fontId="2" fillId="0" borderId="40" xfId="0" applyFont="1" applyBorder="1" applyAlignment="1" applyProtection="1">
      <alignment horizontal="center" vertical="top" wrapText="1"/>
      <protection/>
    </xf>
    <xf numFmtId="0" fontId="2" fillId="0" borderId="97" xfId="0" applyFont="1" applyBorder="1" applyAlignment="1" applyProtection="1">
      <alignment horizontal="center" vertical="top" wrapText="1"/>
      <protection/>
    </xf>
    <xf numFmtId="0" fontId="25" fillId="0" borderId="97" xfId="0" applyNumberFormat="1" applyFont="1" applyBorder="1" applyAlignment="1" applyProtection="1">
      <alignment horizontal="center"/>
      <protection/>
    </xf>
    <xf numFmtId="0" fontId="2" fillId="0" borderId="0" xfId="0" applyFont="1" applyBorder="1" applyAlignment="1">
      <alignment horizontal="center"/>
    </xf>
    <xf numFmtId="4" fontId="25" fillId="0" borderId="37" xfId="0" applyNumberFormat="1" applyFont="1" applyBorder="1" applyAlignment="1" applyProtection="1">
      <alignment horizontal="center"/>
      <protection locked="0"/>
    </xf>
    <xf numFmtId="0" fontId="0" fillId="0" borderId="37" xfId="0" applyBorder="1" applyAlignment="1">
      <alignment horizontal="left"/>
    </xf>
    <xf numFmtId="0" fontId="14" fillId="0" borderId="40" xfId="0" applyFont="1" applyBorder="1" applyAlignment="1" applyProtection="1">
      <alignment horizontal="center" vertical="top" wrapText="1"/>
      <protection/>
    </xf>
    <xf numFmtId="0" fontId="14" fillId="0" borderId="97" xfId="0" applyFont="1" applyBorder="1" applyAlignment="1" applyProtection="1">
      <alignment horizontal="center" vertical="top" wrapText="1"/>
      <protection/>
    </xf>
    <xf numFmtId="0" fontId="14" fillId="0" borderId="104" xfId="0" applyFont="1" applyBorder="1" applyAlignment="1" applyProtection="1">
      <alignment horizontal="center" vertical="top" wrapText="1"/>
      <protection/>
    </xf>
    <xf numFmtId="1" fontId="25" fillId="0" borderId="40" xfId="0" applyNumberFormat="1" applyFont="1" applyBorder="1" applyAlignment="1" applyProtection="1">
      <alignment horizontal="center"/>
      <protection/>
    </xf>
    <xf numFmtId="1" fontId="25" fillId="0" borderId="104" xfId="0" applyNumberFormat="1" applyFont="1" applyBorder="1" applyAlignment="1" applyProtection="1">
      <alignment horizontal="center"/>
      <protection/>
    </xf>
    <xf numFmtId="0" fontId="25" fillId="0" borderId="40" xfId="0" applyFont="1" applyBorder="1" applyAlignment="1" applyProtection="1">
      <alignment horizontal="center"/>
      <protection/>
    </xf>
    <xf numFmtId="0" fontId="25" fillId="0" borderId="97" xfId="0" applyFont="1" applyBorder="1" applyAlignment="1" applyProtection="1">
      <alignment horizontal="center"/>
      <protection/>
    </xf>
    <xf numFmtId="0" fontId="25" fillId="0" borderId="104" xfId="0" applyFont="1" applyBorder="1" applyAlignment="1" applyProtection="1">
      <alignment horizont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0" fillId="0" borderId="104" xfId="0" applyBorder="1" applyAlignment="1" applyProtection="1">
      <alignment horizontal="center" vertical="top" wrapText="1"/>
      <protection/>
    </xf>
    <xf numFmtId="0" fontId="2" fillId="0" borderId="38" xfId="0" applyFont="1" applyBorder="1" applyAlignment="1" applyProtection="1">
      <alignment/>
      <protection/>
    </xf>
    <xf numFmtId="0" fontId="0" fillId="0" borderId="38" xfId="0" applyBorder="1" applyAlignment="1" applyProtection="1">
      <alignment/>
      <protection/>
    </xf>
    <xf numFmtId="14" fontId="25" fillId="0" borderId="0" xfId="0" applyNumberFormat="1" applyFont="1" applyBorder="1" applyAlignment="1" applyProtection="1">
      <alignment horizontal="center"/>
      <protection/>
    </xf>
    <xf numFmtId="14" fontId="25" fillId="0" borderId="97" xfId="0" applyNumberFormat="1" applyFont="1" applyBorder="1" applyAlignment="1" applyProtection="1">
      <alignment horizontal="left"/>
      <protection/>
    </xf>
    <xf numFmtId="0" fontId="2" fillId="0" borderId="0" xfId="0" applyFont="1" applyAlignment="1">
      <alignment horizontal="left" vertical="top" wrapText="1"/>
    </xf>
    <xf numFmtId="0" fontId="14" fillId="0" borderId="0" xfId="0" applyFont="1" applyAlignment="1">
      <alignment horizontal="left"/>
    </xf>
    <xf numFmtId="0" fontId="2" fillId="0" borderId="0" xfId="0" applyFont="1" applyAlignment="1">
      <alignment horizontal="left"/>
    </xf>
    <xf numFmtId="0" fontId="2" fillId="0" borderId="0" xfId="0" applyFont="1" applyAlignment="1">
      <alignment/>
    </xf>
    <xf numFmtId="0" fontId="2" fillId="0" borderId="0" xfId="0" applyFont="1" applyAlignment="1">
      <alignment textRotation="255"/>
    </xf>
    <xf numFmtId="0" fontId="2" fillId="0" borderId="40" xfId="0" applyFont="1" applyBorder="1" applyAlignment="1" applyProtection="1">
      <alignment/>
      <protection/>
    </xf>
    <xf numFmtId="0" fontId="0" fillId="0" borderId="97" xfId="0" applyBorder="1" applyAlignment="1" applyProtection="1">
      <alignment/>
      <protection/>
    </xf>
    <xf numFmtId="0" fontId="0" fillId="0" borderId="104" xfId="0" applyBorder="1" applyAlignment="1" applyProtection="1">
      <alignment/>
      <protection/>
    </xf>
    <xf numFmtId="0" fontId="2" fillId="0" borderId="36" xfId="0" applyFont="1" applyBorder="1" applyAlignment="1" applyProtection="1">
      <alignment horizontal="left"/>
      <protection/>
    </xf>
    <xf numFmtId="0" fontId="0" fillId="0" borderId="36" xfId="0" applyBorder="1" applyAlignment="1" applyProtection="1">
      <alignment horizontal="left"/>
      <protection/>
    </xf>
    <xf numFmtId="0" fontId="0" fillId="0" borderId="37" xfId="0" applyBorder="1" applyAlignment="1" applyProtection="1">
      <alignment/>
      <protection/>
    </xf>
    <xf numFmtId="164" fontId="6" fillId="0" borderId="0" xfId="0" applyNumberFormat="1" applyFont="1" applyBorder="1" applyAlignment="1" applyProtection="1">
      <alignment/>
      <protection/>
    </xf>
    <xf numFmtId="0" fontId="2" fillId="0" borderId="0" xfId="0" applyFont="1" applyAlignment="1">
      <alignment horizontal="center" vertical="top" wrapText="1"/>
    </xf>
    <xf numFmtId="0" fontId="2" fillId="0" borderId="0" xfId="0" applyFont="1" applyBorder="1" applyAlignment="1" applyProtection="1">
      <alignment horizontal="center"/>
      <protection/>
    </xf>
    <xf numFmtId="0" fontId="14"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horizontal="center" vertical="top" wrapText="1"/>
    </xf>
    <xf numFmtId="0" fontId="6" fillId="0" borderId="0" xfId="0" applyFont="1" applyAlignment="1">
      <alignment horizontal="left"/>
    </xf>
    <xf numFmtId="166" fontId="6" fillId="0" borderId="105" xfId="0" applyNumberFormat="1" applyFont="1" applyBorder="1" applyAlignment="1" applyProtection="1">
      <alignment horizontal="center"/>
      <protection/>
    </xf>
    <xf numFmtId="0" fontId="2" fillId="0" borderId="0" xfId="0" applyFont="1" applyAlignment="1" applyProtection="1">
      <alignment/>
      <protection/>
    </xf>
    <xf numFmtId="166" fontId="6" fillId="0" borderId="45" xfId="0" applyNumberFormat="1" applyFont="1" applyBorder="1" applyAlignment="1" applyProtection="1">
      <alignment horizontal="center"/>
      <protection/>
    </xf>
    <xf numFmtId="0" fontId="2" fillId="0" borderId="0" xfId="0" applyFont="1" applyAlignment="1">
      <alignment horizontal="left" wrapText="1"/>
    </xf>
    <xf numFmtId="0" fontId="2" fillId="0" borderId="37" xfId="0" applyFont="1" applyBorder="1" applyAlignment="1" applyProtection="1">
      <alignment/>
      <protection/>
    </xf>
    <xf numFmtId="0" fontId="2" fillId="0" borderId="0" xfId="0" applyFont="1" applyAlignment="1" applyProtection="1">
      <alignment wrapText="1"/>
      <protection/>
    </xf>
    <xf numFmtId="0" fontId="0" fillId="0" borderId="0" xfId="0" applyFont="1" applyAlignment="1" applyProtection="1">
      <alignment wrapText="1"/>
      <protection/>
    </xf>
    <xf numFmtId="4" fontId="25" fillId="0" borderId="40" xfId="0" applyNumberFormat="1" applyFont="1" applyBorder="1" applyAlignment="1" applyProtection="1">
      <alignment horizontal="center"/>
      <protection/>
    </xf>
    <xf numFmtId="14" fontId="25" fillId="0" borderId="37" xfId="0" applyNumberFormat="1" applyFont="1" applyBorder="1" applyAlignment="1" applyProtection="1">
      <alignment horizontal="center"/>
      <protection/>
    </xf>
    <xf numFmtId="0" fontId="2" fillId="0" borderId="36" xfId="0" applyFont="1" applyBorder="1" applyAlignment="1" applyProtection="1">
      <alignment horizontal="right"/>
      <protection/>
    </xf>
    <xf numFmtId="0" fontId="0" fillId="0" borderId="36" xfId="0" applyBorder="1" applyAlignment="1" applyProtection="1">
      <alignment horizontal="right"/>
      <protection/>
    </xf>
    <xf numFmtId="49" fontId="25" fillId="0" borderId="97" xfId="0" applyNumberFormat="1" applyFont="1" applyBorder="1" applyAlignment="1" applyProtection="1">
      <alignment horizontal="center"/>
      <protection/>
    </xf>
    <xf numFmtId="0" fontId="2" fillId="0" borderId="37" xfId="0" applyFont="1" applyBorder="1" applyAlignment="1" applyProtection="1">
      <alignment horizontal="center"/>
      <protection/>
    </xf>
    <xf numFmtId="0" fontId="2" fillId="0" borderId="36" xfId="0" applyFont="1" applyBorder="1" applyAlignment="1" applyProtection="1">
      <alignment horizontal="center"/>
      <protection/>
    </xf>
    <xf numFmtId="0" fontId="2" fillId="0" borderId="0" xfId="0" applyFont="1" applyAlignment="1" applyProtection="1">
      <alignment horizontal="left"/>
      <protection/>
    </xf>
    <xf numFmtId="0" fontId="25" fillId="0" borderId="0" xfId="0" applyFont="1" applyBorder="1" applyAlignment="1" applyProtection="1">
      <alignment horizontal="center"/>
      <protection/>
    </xf>
    <xf numFmtId="0" fontId="31" fillId="0" borderId="37" xfId="0" applyFont="1" applyBorder="1" applyAlignment="1" applyProtection="1">
      <alignment horizontal="center"/>
      <protection/>
    </xf>
    <xf numFmtId="1" fontId="25" fillId="0" borderId="0" xfId="0" applyNumberFormat="1" applyFont="1" applyBorder="1" applyAlignment="1" applyProtection="1">
      <alignment horizontal="center"/>
      <protection locked="0"/>
    </xf>
    <xf numFmtId="14" fontId="25" fillId="0" borderId="37" xfId="0" applyNumberFormat="1" applyFont="1" applyBorder="1" applyAlignment="1" applyProtection="1">
      <alignment horizontal="left"/>
      <protection/>
    </xf>
    <xf numFmtId="14" fontId="25" fillId="0" borderId="37" xfId="0" applyNumberFormat="1" applyFont="1" applyBorder="1" applyAlignment="1" applyProtection="1">
      <alignment horizontal="left"/>
      <protection locked="0"/>
    </xf>
    <xf numFmtId="0" fontId="0" fillId="0" borderId="0" xfId="0" applyAlignment="1">
      <alignment wrapText="1"/>
    </xf>
    <xf numFmtId="14" fontId="2" fillId="0" borderId="37" xfId="0" applyNumberFormat="1" applyFont="1" applyBorder="1" applyAlignment="1" applyProtection="1">
      <alignment horizontal="left"/>
      <protection locked="0"/>
    </xf>
    <xf numFmtId="14" fontId="2" fillId="0" borderId="0" xfId="0" applyNumberFormat="1" applyFont="1" applyBorder="1" applyAlignment="1" applyProtection="1">
      <alignment horizontal="left"/>
      <protection/>
    </xf>
    <xf numFmtId="0" fontId="25" fillId="0" borderId="37" xfId="0" applyNumberFormat="1" applyFont="1" applyBorder="1" applyAlignment="1" applyProtection="1">
      <alignment horizontal="left"/>
      <protection/>
    </xf>
    <xf numFmtId="49" fontId="0" fillId="0" borderId="97" xfId="0" applyNumberFormat="1" applyBorder="1" applyAlignment="1" applyProtection="1">
      <alignment horizontal="center"/>
      <protection/>
    </xf>
    <xf numFmtId="0" fontId="0" fillId="0" borderId="97" xfId="0" applyBorder="1" applyAlignment="1" applyProtection="1">
      <alignment horizontal="center"/>
      <protection/>
    </xf>
    <xf numFmtId="0" fontId="25" fillId="0" borderId="97" xfId="0" applyFont="1" applyBorder="1" applyAlignment="1" applyProtection="1">
      <alignment horizontal="left"/>
      <protection/>
    </xf>
    <xf numFmtId="0" fontId="14" fillId="0" borderId="40" xfId="0" applyFont="1" applyBorder="1" applyAlignment="1" applyProtection="1">
      <alignment horizontal="center" vertical="top"/>
      <protection/>
    </xf>
    <xf numFmtId="0" fontId="0" fillId="0" borderId="97" xfId="0" applyBorder="1" applyAlignment="1" applyProtection="1">
      <alignment/>
      <protection/>
    </xf>
    <xf numFmtId="0" fontId="0" fillId="0" borderId="104" xfId="0" applyBorder="1" applyAlignment="1" applyProtection="1">
      <alignment/>
      <protection/>
    </xf>
    <xf numFmtId="49" fontId="2" fillId="45" borderId="0" xfId="0" applyNumberFormat="1" applyFont="1" applyFill="1" applyBorder="1" applyAlignment="1">
      <alignment horizontal="center"/>
    </xf>
    <xf numFmtId="0" fontId="0" fillId="0" borderId="37" xfId="0" applyBorder="1" applyAlignment="1">
      <alignment horizontal="center"/>
    </xf>
    <xf numFmtId="0" fontId="25" fillId="0" borderId="37" xfId="0" applyFont="1" applyBorder="1" applyAlignment="1" applyProtection="1">
      <alignment horizontal="center"/>
      <protection locked="0"/>
    </xf>
    <xf numFmtId="38" fontId="25" fillId="0" borderId="37" xfId="0" applyNumberFormat="1" applyFont="1" applyBorder="1" applyAlignment="1" applyProtection="1">
      <alignment horizontal="center"/>
      <protection/>
    </xf>
    <xf numFmtId="1" fontId="0" fillId="0" borderId="37" xfId="0" applyNumberFormat="1" applyBorder="1" applyAlignment="1" applyProtection="1">
      <alignment horizontal="center"/>
      <protection locked="0"/>
    </xf>
    <xf numFmtId="0" fontId="2" fillId="0" borderId="0" xfId="0" applyFont="1" applyBorder="1" applyAlignment="1" applyProtection="1">
      <alignment horizontal="left"/>
      <protection/>
    </xf>
    <xf numFmtId="0" fontId="16" fillId="0" borderId="37" xfId="0" applyFont="1" applyBorder="1" applyAlignment="1" applyProtection="1">
      <alignment horizontal="center"/>
      <protection locked="0"/>
    </xf>
    <xf numFmtId="0" fontId="16" fillId="0" borderId="37" xfId="0" applyFont="1" applyBorder="1" applyAlignment="1" applyProtection="1">
      <alignment horizontal="center"/>
      <protection/>
    </xf>
    <xf numFmtId="0" fontId="2" fillId="0" borderId="0" xfId="0" applyFont="1" applyAlignment="1" applyProtection="1">
      <alignment horizontal="center"/>
      <protection/>
    </xf>
    <xf numFmtId="0" fontId="16" fillId="0" borderId="0" xfId="0" applyFont="1" applyAlignment="1" applyProtection="1">
      <alignment horizontal="center"/>
      <protection/>
    </xf>
    <xf numFmtId="0" fontId="13" fillId="0" borderId="0" xfId="0" applyFont="1" applyAlignment="1" applyProtection="1">
      <alignment/>
      <protection/>
    </xf>
    <xf numFmtId="0" fontId="0" fillId="0" borderId="0" xfId="0" applyAlignment="1" applyProtection="1">
      <alignment/>
      <protection/>
    </xf>
    <xf numFmtId="0" fontId="16" fillId="45" borderId="0" xfId="0" applyFont="1" applyFill="1" applyBorder="1" applyAlignment="1" applyProtection="1">
      <alignment horizontal="center"/>
      <protection/>
    </xf>
    <xf numFmtId="49" fontId="0" fillId="0" borderId="37" xfId="0" applyNumberFormat="1" applyBorder="1" applyAlignment="1">
      <alignment horizontal="left"/>
    </xf>
    <xf numFmtId="0" fontId="0" fillId="0" borderId="37" xfId="0" applyBorder="1" applyAlignment="1" applyProtection="1">
      <alignment horizontal="center"/>
      <protection/>
    </xf>
    <xf numFmtId="0" fontId="14" fillId="0" borderId="97" xfId="0" applyFont="1" applyBorder="1" applyAlignment="1" applyProtection="1">
      <alignment horizontal="center" vertical="top"/>
      <protection/>
    </xf>
    <xf numFmtId="0" fontId="14" fillId="0" borderId="104" xfId="0" applyFont="1" applyBorder="1" applyAlignment="1" applyProtection="1">
      <alignment horizontal="center" vertical="top"/>
      <protection/>
    </xf>
    <xf numFmtId="0" fontId="25" fillId="0" borderId="37" xfId="0" applyNumberFormat="1" applyFont="1" applyBorder="1" applyAlignment="1" applyProtection="1">
      <alignment horizontal="center"/>
      <protection/>
    </xf>
    <xf numFmtId="0" fontId="25" fillId="0" borderId="97" xfId="0" applyNumberFormat="1" applyFont="1" applyBorder="1" applyAlignment="1" applyProtection="1">
      <alignment horizontal="left"/>
      <protection/>
    </xf>
    <xf numFmtId="0" fontId="25" fillId="0" borderId="37" xfId="0" applyNumberFormat="1" applyFont="1" applyBorder="1" applyAlignment="1" applyProtection="1">
      <alignment/>
      <protection/>
    </xf>
    <xf numFmtId="0" fontId="0" fillId="35" borderId="106" xfId="0" applyFill="1" applyBorder="1" applyAlignment="1" applyProtection="1">
      <alignment horizontal="center"/>
      <protection/>
    </xf>
    <xf numFmtId="0" fontId="0" fillId="35" borderId="59" xfId="0" applyFill="1" applyBorder="1" applyAlignment="1">
      <alignment horizontal="center"/>
    </xf>
    <xf numFmtId="0" fontId="0" fillId="35" borderId="79" xfId="0" applyFill="1" applyBorder="1" applyAlignment="1">
      <alignment horizontal="center"/>
    </xf>
    <xf numFmtId="0" fontId="0" fillId="35" borderId="30" xfId="0" applyFill="1" applyBorder="1" applyAlignment="1">
      <alignment horizontal="center"/>
    </xf>
    <xf numFmtId="0" fontId="0" fillId="35" borderId="0" xfId="0" applyFill="1" applyBorder="1" applyAlignment="1">
      <alignment horizontal="center"/>
    </xf>
    <xf numFmtId="0" fontId="0" fillId="35" borderId="79" xfId="0" applyFill="1" applyBorder="1" applyAlignment="1" applyProtection="1">
      <alignment horizontal="center"/>
      <protection/>
    </xf>
    <xf numFmtId="0" fontId="0" fillId="35" borderId="0" xfId="0" applyFill="1" applyBorder="1" applyAlignment="1" applyProtection="1">
      <alignment horizontal="center"/>
      <protection/>
    </xf>
    <xf numFmtId="0" fontId="3" fillId="35" borderId="24" xfId="0" applyFont="1" applyFill="1" applyBorder="1" applyAlignment="1">
      <alignment horizontal="center"/>
    </xf>
    <xf numFmtId="0" fontId="3" fillId="35" borderId="86" xfId="0" applyFont="1" applyFill="1" applyBorder="1" applyAlignment="1">
      <alignment horizontal="center"/>
    </xf>
    <xf numFmtId="0" fontId="3" fillId="35" borderId="87" xfId="0" applyFont="1" applyFill="1" applyBorder="1" applyAlignment="1">
      <alignment horizontal="center"/>
    </xf>
    <xf numFmtId="0" fontId="3" fillId="35" borderId="59" xfId="0" applyFont="1" applyFill="1" applyBorder="1" applyAlignment="1">
      <alignment horizontal="center"/>
    </xf>
    <xf numFmtId="0" fontId="3" fillId="35" borderId="79" xfId="0" applyFont="1" applyFill="1" applyBorder="1" applyAlignment="1">
      <alignment horizontal="center"/>
    </xf>
    <xf numFmtId="0" fontId="0" fillId="35" borderId="107" xfId="0" applyFill="1" applyBorder="1" applyAlignment="1" applyProtection="1">
      <alignment horizontal="center"/>
      <protection/>
    </xf>
    <xf numFmtId="0" fontId="0" fillId="0" borderId="61" xfId="0" applyFill="1" applyBorder="1" applyAlignment="1" applyProtection="1">
      <alignment horizontal="center"/>
      <protection/>
    </xf>
    <xf numFmtId="0" fontId="0" fillId="0" borderId="66" xfId="0" applyFill="1" applyBorder="1" applyAlignment="1" applyProtection="1">
      <alignment horizontal="center"/>
      <protection/>
    </xf>
    <xf numFmtId="0" fontId="0" fillId="0" borderId="62" xfId="0" applyFill="1" applyBorder="1" applyAlignment="1" applyProtection="1">
      <alignment horizontal="center"/>
      <protection/>
    </xf>
    <xf numFmtId="0" fontId="0" fillId="0" borderId="60" xfId="0" applyFill="1" applyBorder="1" applyAlignment="1" applyProtection="1">
      <alignment horizontal="center"/>
      <protection/>
    </xf>
    <xf numFmtId="0" fontId="0" fillId="0" borderId="0" xfId="0" applyAlignment="1">
      <alignment horizontal="left"/>
    </xf>
    <xf numFmtId="0" fontId="14" fillId="0" borderId="0" xfId="0" applyFont="1" applyBorder="1" applyAlignment="1">
      <alignment horizontal="left"/>
    </xf>
    <xf numFmtId="0" fontId="15" fillId="0" borderId="0" xfId="0" applyFont="1" applyAlignment="1">
      <alignment horizontal="left"/>
    </xf>
    <xf numFmtId="0" fontId="11" fillId="0" borderId="0" xfId="0" applyFont="1" applyAlignment="1">
      <alignment horizontal="left"/>
    </xf>
    <xf numFmtId="0" fontId="26" fillId="35" borderId="37" xfId="0" applyFont="1" applyFill="1" applyBorder="1" applyAlignment="1">
      <alignment horizontal="left"/>
    </xf>
    <xf numFmtId="0" fontId="0" fillId="35" borderId="37" xfId="0" applyFill="1" applyBorder="1" applyAlignment="1">
      <alignment/>
    </xf>
    <xf numFmtId="0" fontId="10" fillId="0" borderId="0" xfId="0" applyFont="1" applyBorder="1" applyAlignment="1">
      <alignment horizontal="left"/>
    </xf>
    <xf numFmtId="0" fontId="6" fillId="0" borderId="0" xfId="0" applyFont="1" applyAlignment="1">
      <alignment/>
    </xf>
    <xf numFmtId="0" fontId="27" fillId="0" borderId="0" xfId="0" applyFont="1" applyAlignment="1">
      <alignment horizontal="center"/>
    </xf>
    <xf numFmtId="0" fontId="26" fillId="35" borderId="37"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yle 1" xfId="59"/>
    <cellStyle name="Style 2" xfId="60"/>
    <cellStyle name="Title" xfId="61"/>
    <cellStyle name="Total" xfId="62"/>
    <cellStyle name="Warning Text" xfId="63"/>
  </cellStyles>
  <dxfs count="47">
    <dxf>
      <fill>
        <patternFill patternType="mediumGray">
          <fgColor indexed="22"/>
        </patternFill>
      </fill>
    </dxf>
    <dxf>
      <fill>
        <patternFill patternType="lightGray">
          <fgColor indexed="22"/>
          <bgColor indexed="65"/>
        </patternFill>
      </fill>
    </dxf>
    <dxf>
      <fill>
        <patternFill patternType="mediumGray">
          <fgColor indexed="22"/>
        </patternFill>
      </fill>
    </dxf>
    <dxf>
      <fill>
        <patternFill patternType="lightGray">
          <fgColor indexed="22"/>
          <bgColor indexed="65"/>
        </patternFill>
      </fill>
    </dxf>
    <dxf>
      <fill>
        <patternFill patternType="mediumGray">
          <fgColor indexed="22"/>
        </patternFill>
      </fill>
    </dxf>
    <dxf>
      <fill>
        <patternFill patternType="lightGray">
          <fgColor indexed="22"/>
          <bgColor indexed="6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fill>
        <patternFill patternType="lightGray">
          <fgColor indexed="45"/>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87"/>
  <sheetViews>
    <sheetView zoomScalePageLayoutView="0" workbookViewId="0" topLeftCell="A1">
      <selection activeCell="H3" sqref="H3:K3"/>
    </sheetView>
  </sheetViews>
  <sheetFormatPr defaultColWidth="9.140625" defaultRowHeight="12.75"/>
  <cols>
    <col min="1" max="1" width="19.7109375" style="0" customWidth="1"/>
    <col min="2" max="2" width="10.57421875" style="0" customWidth="1"/>
    <col min="3" max="3" width="11.57421875" style="0" customWidth="1"/>
    <col min="4" max="4" width="2.7109375" style="0" customWidth="1"/>
    <col min="9" max="9" width="7.8515625" style="0" customWidth="1"/>
    <col min="10" max="10" width="3.28125" style="0" customWidth="1"/>
  </cols>
  <sheetData>
    <row r="1" spans="1:21" ht="15.75" customHeight="1">
      <c r="A1" s="399" t="str">
        <f>"Nonpublic Special Education School Budget for FY "&amp;clFiscalYear</f>
        <v>Nonpublic Special Education School Budget for FY 2024</v>
      </c>
      <c r="B1" s="400"/>
      <c r="C1" s="401"/>
      <c r="D1" s="401"/>
      <c r="E1" s="401"/>
      <c r="F1" s="405"/>
      <c r="G1" s="581" t="s">
        <v>713</v>
      </c>
      <c r="H1" s="581"/>
      <c r="I1" s="405"/>
      <c r="J1" s="405"/>
      <c r="K1" s="535"/>
      <c r="L1" s="405"/>
      <c r="M1" s="405"/>
      <c r="N1" s="405"/>
      <c r="O1" s="405"/>
      <c r="P1" s="263"/>
      <c r="Q1" s="405"/>
      <c r="R1" s="405"/>
      <c r="S1" s="405"/>
      <c r="T1" s="405"/>
      <c r="U1" s="263"/>
    </row>
    <row r="2" spans="1:21" ht="21" customHeight="1" thickBot="1">
      <c r="A2" s="406" t="s">
        <v>782</v>
      </c>
      <c r="B2" s="536"/>
      <c r="C2" s="406"/>
      <c r="D2" s="402"/>
      <c r="E2" s="402"/>
      <c r="F2" s="402"/>
      <c r="G2" s="402"/>
      <c r="H2" s="402"/>
      <c r="I2" s="536"/>
      <c r="J2" s="536"/>
      <c r="K2" s="537"/>
      <c r="L2" s="403"/>
      <c r="M2" s="403"/>
      <c r="N2" s="403"/>
      <c r="O2" s="403"/>
      <c r="P2" s="264"/>
      <c r="Q2" s="403"/>
      <c r="R2" s="403"/>
      <c r="S2" s="403"/>
      <c r="T2" s="403"/>
      <c r="U2" s="264"/>
    </row>
    <row r="3" spans="1:21" ht="12.75">
      <c r="A3" s="408" t="s">
        <v>629</v>
      </c>
      <c r="B3" s="633">
        <f>IF(B3=0," ",clLegalAuthName)</f>
        <v>0</v>
      </c>
      <c r="C3" s="634"/>
      <c r="D3" s="634"/>
      <c r="E3" s="634"/>
      <c r="F3" s="635" t="s">
        <v>630</v>
      </c>
      <c r="G3" s="635"/>
      <c r="H3" s="636">
        <f>IF(H3=0," ",clSchoolNumber)</f>
        <v>0</v>
      </c>
      <c r="I3" s="636"/>
      <c r="J3" s="636"/>
      <c r="K3" s="637"/>
      <c r="L3" s="403"/>
      <c r="M3" s="403"/>
      <c r="N3" s="403"/>
      <c r="O3" s="403"/>
      <c r="P3" s="264"/>
      <c r="Q3" s="403"/>
      <c r="R3" s="403"/>
      <c r="S3" s="403"/>
      <c r="T3" s="403"/>
      <c r="U3" s="264"/>
    </row>
    <row r="4" spans="1:21" ht="12.75">
      <c r="A4" s="409" t="s">
        <v>86</v>
      </c>
      <c r="B4" s="638" t="s">
        <v>25</v>
      </c>
      <c r="C4" s="638"/>
      <c r="D4" s="638"/>
      <c r="E4" s="638"/>
      <c r="F4" s="638"/>
      <c r="G4" s="638"/>
      <c r="H4" s="638"/>
      <c r="I4" s="638"/>
      <c r="J4" s="638"/>
      <c r="K4" s="639"/>
      <c r="L4" s="405"/>
      <c r="M4" s="405"/>
      <c r="N4" s="405"/>
      <c r="O4" s="405"/>
      <c r="P4" s="263"/>
      <c r="Q4" s="405"/>
      <c r="R4" s="405"/>
      <c r="S4" s="405"/>
      <c r="T4" s="405"/>
      <c r="U4" s="263"/>
    </row>
    <row r="5" spans="1:21" ht="12.75">
      <c r="A5" s="265" t="s">
        <v>174</v>
      </c>
      <c r="B5" s="640">
        <v>0</v>
      </c>
      <c r="C5" s="640"/>
      <c r="D5" s="640"/>
      <c r="E5" s="325" t="s">
        <v>624</v>
      </c>
      <c r="F5" s="641">
        <f>IF(F5=0," ",clCity)</f>
        <v>0</v>
      </c>
      <c r="G5" s="641"/>
      <c r="H5" s="325" t="s">
        <v>625</v>
      </c>
      <c r="I5" s="359">
        <f>IF(I5=0," ",clState)</f>
        <v>0</v>
      </c>
      <c r="J5" s="325" t="s">
        <v>626</v>
      </c>
      <c r="K5" s="534">
        <f>IF(K5=0," ",clZipCode)</f>
        <v>0</v>
      </c>
      <c r="L5" s="405"/>
      <c r="M5" s="405"/>
      <c r="N5" s="405"/>
      <c r="O5" s="405"/>
      <c r="P5" s="263"/>
      <c r="Q5" s="405"/>
      <c r="R5" s="405"/>
      <c r="S5" s="405"/>
      <c r="T5" s="405"/>
      <c r="U5" s="263"/>
    </row>
    <row r="6" spans="1:21" ht="12.75">
      <c r="A6" s="410" t="s">
        <v>627</v>
      </c>
      <c r="B6" s="642">
        <f>IF(B6=0," ",clSchoolPhone)</f>
        <v>0</v>
      </c>
      <c r="C6" s="643"/>
      <c r="D6" s="643"/>
      <c r="E6" s="644" t="s">
        <v>628</v>
      </c>
      <c r="F6" s="644"/>
      <c r="G6" s="645" t="s">
        <v>25</v>
      </c>
      <c r="H6" s="645"/>
      <c r="I6" s="645"/>
      <c r="J6" s="645"/>
      <c r="K6" s="646"/>
      <c r="L6" s="405"/>
      <c r="M6" s="405"/>
      <c r="N6" s="405"/>
      <c r="O6" s="405"/>
      <c r="P6" s="263"/>
      <c r="Q6" s="405"/>
      <c r="R6" s="405"/>
      <c r="S6" s="405"/>
      <c r="T6" s="405"/>
      <c r="U6" s="263"/>
    </row>
    <row r="7" spans="1:21" ht="12.75">
      <c r="A7" s="410" t="s">
        <v>705</v>
      </c>
      <c r="B7" s="647"/>
      <c r="C7" s="647"/>
      <c r="D7" s="647"/>
      <c r="E7" s="648" t="s">
        <v>454</v>
      </c>
      <c r="F7" s="648"/>
      <c r="G7" s="647" t="str">
        <f>IF(G7=0," ",WebAddress)</f>
        <v> </v>
      </c>
      <c r="H7" s="647"/>
      <c r="I7" s="647"/>
      <c r="J7" s="647"/>
      <c r="K7" s="649"/>
      <c r="L7" s="405"/>
      <c r="M7" s="405"/>
      <c r="N7" s="405"/>
      <c r="O7" s="405"/>
      <c r="P7" s="263"/>
      <c r="Q7" s="405"/>
      <c r="R7" s="405"/>
      <c r="S7" s="405"/>
      <c r="T7" s="405"/>
      <c r="U7" s="263"/>
    </row>
    <row r="8" spans="1:21" ht="14.25">
      <c r="A8" s="410" t="s">
        <v>706</v>
      </c>
      <c r="B8" s="642">
        <f>IF(B8=0,"",clSchoolExecDir)</f>
        <v>0</v>
      </c>
      <c r="C8" s="643"/>
      <c r="D8" s="643"/>
      <c r="E8" s="325" t="s">
        <v>7</v>
      </c>
      <c r="F8" s="653" t="str">
        <f>IF(F8=0," ",ExecNum)</f>
        <v> </v>
      </c>
      <c r="G8" s="654"/>
      <c r="H8" s="325" t="s">
        <v>175</v>
      </c>
      <c r="I8" s="655">
        <f>IF(I8=0," ",clExDirEmail)</f>
        <v>0</v>
      </c>
      <c r="J8" s="656"/>
      <c r="K8" s="657"/>
      <c r="L8" s="275"/>
      <c r="M8" s="405"/>
      <c r="N8" s="405"/>
      <c r="O8" s="405"/>
      <c r="P8" s="263"/>
      <c r="Q8" s="275"/>
      <c r="R8" s="405"/>
      <c r="S8" s="405"/>
      <c r="T8" s="405"/>
      <c r="U8" s="263"/>
    </row>
    <row r="9" spans="1:21" ht="12.75">
      <c r="A9" s="265" t="s">
        <v>657</v>
      </c>
      <c r="B9" s="642" t="str">
        <f>IF(B9=0," ",AdminHead)</f>
        <v> </v>
      </c>
      <c r="C9" s="643"/>
      <c r="D9" s="643"/>
      <c r="E9" s="325" t="s">
        <v>7</v>
      </c>
      <c r="F9" s="653">
        <f>IF(F9=0," ",ExecNum)</f>
        <v>0</v>
      </c>
      <c r="G9" s="654"/>
      <c r="H9" s="325" t="s">
        <v>175</v>
      </c>
      <c r="I9" s="655" t="str">
        <f>IF(I9=0," ",clAdminEmail)</f>
        <v> </v>
      </c>
      <c r="J9" s="656"/>
      <c r="K9" s="657"/>
      <c r="L9" s="405"/>
      <c r="M9" s="405"/>
      <c r="N9" s="405"/>
      <c r="O9" s="405"/>
      <c r="P9" s="263"/>
      <c r="Q9" s="405"/>
      <c r="R9" s="405"/>
      <c r="S9" s="405"/>
      <c r="T9" s="405"/>
      <c r="U9" s="263"/>
    </row>
    <row r="10" spans="1:21" ht="12.75">
      <c r="A10" s="265" t="s">
        <v>687</v>
      </c>
      <c r="B10" s="642" t="str">
        <f>IF(B10=0," ",clSchoolEducDir)</f>
        <v> </v>
      </c>
      <c r="C10" s="643"/>
      <c r="D10" s="643"/>
      <c r="E10" s="325" t="s">
        <v>7</v>
      </c>
      <c r="F10" s="653">
        <f>IF(F10=0,"",EdNum)</f>
        <v>0</v>
      </c>
      <c r="G10" s="654"/>
      <c r="H10" s="325" t="s">
        <v>175</v>
      </c>
      <c r="I10" s="656">
        <f>IF(I10=0," ",clEdDirEmail)</f>
        <v>0</v>
      </c>
      <c r="J10" s="656"/>
      <c r="K10" s="657"/>
      <c r="L10" s="405"/>
      <c r="M10" s="405"/>
      <c r="N10" s="405"/>
      <c r="O10" s="405"/>
      <c r="P10" s="263"/>
      <c r="Q10" s="405"/>
      <c r="R10" s="405"/>
      <c r="S10" s="405"/>
      <c r="T10" s="405"/>
      <c r="U10" s="263"/>
    </row>
    <row r="11" spans="1:21" ht="12.75">
      <c r="A11" s="265" t="s">
        <v>688</v>
      </c>
      <c r="B11" s="642">
        <f>IF(B11=0," ",clSchoolFinDir)</f>
        <v>0</v>
      </c>
      <c r="C11" s="643"/>
      <c r="D11" s="643"/>
      <c r="E11" s="325" t="s">
        <v>7</v>
      </c>
      <c r="F11" s="653">
        <f>IF(F11=0,"",FinNum)</f>
        <v>0</v>
      </c>
      <c r="G11" s="654"/>
      <c r="H11" s="325" t="s">
        <v>175</v>
      </c>
      <c r="I11" s="656">
        <f>IF(I11=0,"",clFinDirEmail)</f>
      </c>
      <c r="J11" s="656"/>
      <c r="K11" s="657"/>
      <c r="L11" s="405"/>
      <c r="M11" s="405"/>
      <c r="N11" s="405"/>
      <c r="O11" s="405"/>
      <c r="P11" s="263"/>
      <c r="Q11" s="405"/>
      <c r="R11" s="405"/>
      <c r="S11" s="405"/>
      <c r="T11" s="405"/>
      <c r="U11" s="263"/>
    </row>
    <row r="12" spans="1:21" ht="12.75">
      <c r="A12" s="265" t="s">
        <v>65</v>
      </c>
      <c r="B12" s="650">
        <f>IF(B12=0,"",clProgramName)</f>
        <v>0</v>
      </c>
      <c r="C12" s="643"/>
      <c r="D12" s="643"/>
      <c r="E12" s="643"/>
      <c r="F12" s="643"/>
      <c r="G12" s="643"/>
      <c r="H12" s="326" t="s">
        <v>73</v>
      </c>
      <c r="I12" s="651"/>
      <c r="J12" s="651"/>
      <c r="K12" s="652"/>
      <c r="L12" s="405"/>
      <c r="M12" s="405"/>
      <c r="N12" s="405"/>
      <c r="O12" s="405"/>
      <c r="P12" s="263"/>
      <c r="Q12" s="405"/>
      <c r="R12" s="405"/>
      <c r="S12" s="405"/>
      <c r="T12" s="405"/>
      <c r="U12" s="263"/>
    </row>
    <row r="13" spans="1:21" ht="12.75">
      <c r="A13" s="411" t="s">
        <v>633</v>
      </c>
      <c r="B13" s="672"/>
      <c r="C13" s="672"/>
      <c r="D13" s="450"/>
      <c r="E13" s="664" t="s">
        <v>767</v>
      </c>
      <c r="F13" s="664"/>
      <c r="G13" s="667" t="str">
        <f>IF(G13=0," ",clSchType)</f>
        <v> </v>
      </c>
      <c r="H13" s="667"/>
      <c r="I13" s="667"/>
      <c r="J13" s="667"/>
      <c r="K13" s="668"/>
      <c r="L13" s="405"/>
      <c r="M13" s="405"/>
      <c r="N13" s="405"/>
      <c r="O13" s="405"/>
      <c r="P13" s="263"/>
      <c r="Q13" s="405"/>
      <c r="R13" s="405"/>
      <c r="S13" s="405"/>
      <c r="T13" s="405"/>
      <c r="U13" s="263"/>
    </row>
    <row r="14" spans="1:21" ht="13.5" thickBot="1">
      <c r="A14" s="412" t="s">
        <v>631</v>
      </c>
      <c r="B14" s="673">
        <f>IF(B14=0," ",clFederalTaxID)</f>
        <v>0</v>
      </c>
      <c r="C14" s="674"/>
      <c r="D14" s="674"/>
      <c r="E14" s="669"/>
      <c r="F14" s="669"/>
      <c r="G14" s="670"/>
      <c r="H14" s="670"/>
      <c r="I14" s="670"/>
      <c r="J14" s="670"/>
      <c r="K14" s="671"/>
      <c r="L14" s="405"/>
      <c r="M14" s="405"/>
      <c r="N14" s="405"/>
      <c r="O14" s="405"/>
      <c r="P14" s="263"/>
      <c r="Q14" s="405"/>
      <c r="R14" s="405"/>
      <c r="S14" s="405"/>
      <c r="T14" s="405"/>
      <c r="U14" s="263"/>
    </row>
    <row r="15" spans="1:21" ht="16.5" customHeight="1">
      <c r="A15" s="603" t="s">
        <v>768</v>
      </c>
      <c r="B15" s="604"/>
      <c r="C15" s="604"/>
      <c r="D15" s="604"/>
      <c r="E15" s="459"/>
      <c r="F15" s="665" t="s">
        <v>769</v>
      </c>
      <c r="G15" s="665"/>
      <c r="H15" s="665"/>
      <c r="I15" s="665"/>
      <c r="J15" s="455"/>
      <c r="K15" s="456"/>
      <c r="L15" s="403"/>
      <c r="M15" s="403"/>
      <c r="N15" s="403"/>
      <c r="O15" s="403"/>
      <c r="P15" s="264"/>
      <c r="Q15" s="403"/>
      <c r="R15" s="403"/>
      <c r="S15" s="403"/>
      <c r="T15" s="403"/>
      <c r="U15" s="264"/>
    </row>
    <row r="16" spans="1:21" ht="16.5" customHeight="1">
      <c r="A16" s="659"/>
      <c r="B16" s="660"/>
      <c r="C16" s="660"/>
      <c r="D16" s="660"/>
      <c r="E16" s="460"/>
      <c r="F16" s="658" t="s">
        <v>657</v>
      </c>
      <c r="G16" s="658"/>
      <c r="H16" s="658"/>
      <c r="I16" s="457"/>
      <c r="J16" s="457"/>
      <c r="K16" s="458"/>
      <c r="L16" s="405"/>
      <c r="M16" s="405"/>
      <c r="N16" s="405"/>
      <c r="O16" s="405"/>
      <c r="P16" s="263"/>
      <c r="Q16" s="405"/>
      <c r="R16" s="405"/>
      <c r="S16" s="405"/>
      <c r="T16" s="405"/>
      <c r="U16" s="263"/>
    </row>
    <row r="17" spans="1:21" ht="16.5" customHeight="1">
      <c r="A17" s="659"/>
      <c r="B17" s="660"/>
      <c r="C17" s="660"/>
      <c r="D17" s="660"/>
      <c r="E17" s="461"/>
      <c r="F17" s="658" t="s">
        <v>772</v>
      </c>
      <c r="G17" s="658"/>
      <c r="H17" s="658"/>
      <c r="I17" s="457"/>
      <c r="J17" s="457"/>
      <c r="K17" s="458"/>
      <c r="L17" s="405"/>
      <c r="M17" s="405"/>
      <c r="N17" s="405"/>
      <c r="O17" s="405"/>
      <c r="P17" s="263"/>
      <c r="Q17" s="405"/>
      <c r="R17" s="405"/>
      <c r="S17" s="405"/>
      <c r="T17" s="405"/>
      <c r="U17" s="263"/>
    </row>
    <row r="18" spans="1:21" ht="16.5" customHeight="1" thickBot="1">
      <c r="A18" s="661"/>
      <c r="B18" s="662"/>
      <c r="C18" s="662"/>
      <c r="D18" s="663"/>
      <c r="E18" s="462"/>
      <c r="F18" s="666" t="s">
        <v>773</v>
      </c>
      <c r="G18" s="666"/>
      <c r="H18" s="666"/>
      <c r="I18" s="453"/>
      <c r="J18" s="453"/>
      <c r="K18" s="454"/>
      <c r="L18" s="405"/>
      <c r="M18" s="405"/>
      <c r="N18" s="405"/>
      <c r="O18" s="405"/>
      <c r="P18" s="263"/>
      <c r="Q18" s="405"/>
      <c r="R18" s="405"/>
      <c r="S18" s="405"/>
      <c r="T18" s="405"/>
      <c r="U18" s="263"/>
    </row>
    <row r="19" spans="1:21" ht="20.25" customHeight="1" thickBot="1">
      <c r="A19" s="603" t="s">
        <v>770</v>
      </c>
      <c r="B19" s="604"/>
      <c r="C19" s="604"/>
      <c r="D19" s="605"/>
      <c r="E19" s="606"/>
      <c r="F19" s="607"/>
      <c r="G19" s="607"/>
      <c r="H19" s="607"/>
      <c r="I19" s="607"/>
      <c r="J19" s="607"/>
      <c r="K19" s="608"/>
      <c r="L19" s="405"/>
      <c r="M19" s="405"/>
      <c r="N19" s="405"/>
      <c r="O19" s="405"/>
      <c r="P19" s="263"/>
      <c r="Q19" s="405"/>
      <c r="R19" s="405"/>
      <c r="S19" s="405"/>
      <c r="T19" s="405"/>
      <c r="U19" s="263"/>
    </row>
    <row r="20" spans="1:21" ht="20.25" customHeight="1" thickBot="1">
      <c r="A20" s="603" t="s">
        <v>781</v>
      </c>
      <c r="B20" s="604"/>
      <c r="C20" s="604"/>
      <c r="D20" s="605"/>
      <c r="E20" s="606"/>
      <c r="F20" s="607"/>
      <c r="G20" s="607"/>
      <c r="H20" s="607"/>
      <c r="I20" s="607"/>
      <c r="J20" s="607"/>
      <c r="K20" s="608"/>
      <c r="L20" s="405"/>
      <c r="M20" s="405"/>
      <c r="N20" s="405"/>
      <c r="O20" s="405"/>
      <c r="P20" s="263"/>
      <c r="Q20" s="405"/>
      <c r="R20" s="405"/>
      <c r="S20" s="405"/>
      <c r="T20" s="405"/>
      <c r="U20" s="263"/>
    </row>
    <row r="21" spans="1:21" ht="20.25" customHeight="1" thickBot="1">
      <c r="A21" s="603" t="s">
        <v>771</v>
      </c>
      <c r="B21" s="604"/>
      <c r="C21" s="604"/>
      <c r="D21" s="605"/>
      <c r="E21" s="618"/>
      <c r="F21" s="619"/>
      <c r="G21" s="619"/>
      <c r="H21" s="619"/>
      <c r="I21" s="619"/>
      <c r="J21" s="619"/>
      <c r="K21" s="620"/>
      <c r="L21" s="405"/>
      <c r="M21" s="405"/>
      <c r="N21" s="405"/>
      <c r="O21" s="405"/>
      <c r="P21" s="263"/>
      <c r="Q21" s="405"/>
      <c r="R21" s="405"/>
      <c r="S21" s="405"/>
      <c r="T21" s="405"/>
      <c r="U21" s="263"/>
    </row>
    <row r="22" spans="1:21" ht="20.25" customHeight="1" thickBot="1">
      <c r="A22" s="609" t="s">
        <v>780</v>
      </c>
      <c r="B22" s="610"/>
      <c r="C22" s="610"/>
      <c r="D22" s="610"/>
      <c r="E22" s="610"/>
      <c r="F22" s="610"/>
      <c r="G22" s="610"/>
      <c r="H22" s="610"/>
      <c r="I22" s="610"/>
      <c r="J22" s="610"/>
      <c r="K22" s="611"/>
      <c r="L22" s="405"/>
      <c r="M22" s="405"/>
      <c r="N22" s="405"/>
      <c r="O22" s="405"/>
      <c r="P22" s="405"/>
      <c r="Q22" s="405"/>
      <c r="R22" s="405"/>
      <c r="S22" s="405"/>
      <c r="T22" s="405"/>
      <c r="U22" s="405"/>
    </row>
    <row r="23" spans="1:21" ht="12.75" customHeight="1">
      <c r="A23" s="612"/>
      <c r="B23" s="613"/>
      <c r="C23" s="613"/>
      <c r="D23" s="613"/>
      <c r="E23" s="613"/>
      <c r="F23" s="613"/>
      <c r="G23" s="613"/>
      <c r="H23" s="613"/>
      <c r="I23" s="613"/>
      <c r="J23" s="613"/>
      <c r="K23" s="614"/>
      <c r="L23" s="403"/>
      <c r="M23" s="403"/>
      <c r="N23" s="403"/>
      <c r="O23" s="403"/>
      <c r="P23" s="264"/>
      <c r="Q23" s="403"/>
      <c r="R23" s="403"/>
      <c r="S23" s="403"/>
      <c r="T23" s="403"/>
      <c r="U23" s="264"/>
    </row>
    <row r="24" spans="1:21" ht="15" customHeight="1">
      <c r="A24" s="615"/>
      <c r="B24" s="616"/>
      <c r="C24" s="616"/>
      <c r="D24" s="616"/>
      <c r="E24" s="616"/>
      <c r="F24" s="616"/>
      <c r="G24" s="616"/>
      <c r="H24" s="616"/>
      <c r="I24" s="616"/>
      <c r="J24" s="616"/>
      <c r="K24" s="617"/>
      <c r="L24" s="405"/>
      <c r="M24" s="405"/>
      <c r="N24" s="405"/>
      <c r="O24" s="405"/>
      <c r="P24" s="263"/>
      <c r="Q24" s="405"/>
      <c r="R24" s="405"/>
      <c r="S24" s="405"/>
      <c r="T24" s="405"/>
      <c r="U24" s="263"/>
    </row>
    <row r="25" spans="1:21" ht="15" customHeight="1">
      <c r="A25" s="615"/>
      <c r="B25" s="616"/>
      <c r="C25" s="616"/>
      <c r="D25" s="616"/>
      <c r="E25" s="616"/>
      <c r="F25" s="616"/>
      <c r="G25" s="616"/>
      <c r="H25" s="616"/>
      <c r="I25" s="616"/>
      <c r="J25" s="616"/>
      <c r="K25" s="617"/>
      <c r="L25" s="405"/>
      <c r="M25" s="405"/>
      <c r="N25" s="405"/>
      <c r="O25" s="405"/>
      <c r="P25" s="263"/>
      <c r="Q25" s="405"/>
      <c r="R25" s="405"/>
      <c r="S25" s="405"/>
      <c r="T25" s="405"/>
      <c r="U25" s="263"/>
    </row>
    <row r="26" spans="1:21" ht="15" customHeight="1">
      <c r="A26" s="615"/>
      <c r="B26" s="616"/>
      <c r="C26" s="616"/>
      <c r="D26" s="616"/>
      <c r="E26" s="616"/>
      <c r="F26" s="616"/>
      <c r="G26" s="616"/>
      <c r="H26" s="616"/>
      <c r="I26" s="616"/>
      <c r="J26" s="616"/>
      <c r="K26" s="617"/>
      <c r="L26" s="405"/>
      <c r="M26" s="405"/>
      <c r="N26" s="405"/>
      <c r="O26" s="405"/>
      <c r="P26" s="263"/>
      <c r="Q26" s="405"/>
      <c r="R26" s="405"/>
      <c r="S26" s="405"/>
      <c r="T26" s="405"/>
      <c r="U26" s="263"/>
    </row>
    <row r="27" spans="1:21" ht="15" customHeight="1">
      <c r="A27" s="615"/>
      <c r="B27" s="616"/>
      <c r="C27" s="616"/>
      <c r="D27" s="616"/>
      <c r="E27" s="616"/>
      <c r="F27" s="616"/>
      <c r="G27" s="616"/>
      <c r="H27" s="616"/>
      <c r="I27" s="616"/>
      <c r="J27" s="616"/>
      <c r="K27" s="617"/>
      <c r="L27" s="405"/>
      <c r="M27" s="405"/>
      <c r="N27" s="405"/>
      <c r="O27" s="405"/>
      <c r="P27" s="263"/>
      <c r="Q27" s="405"/>
      <c r="R27" s="405"/>
      <c r="S27" s="405"/>
      <c r="T27" s="405"/>
      <c r="U27" s="263"/>
    </row>
    <row r="28" spans="1:21" ht="15" customHeight="1">
      <c r="A28" s="615"/>
      <c r="B28" s="616"/>
      <c r="C28" s="616"/>
      <c r="D28" s="616"/>
      <c r="E28" s="616"/>
      <c r="F28" s="616"/>
      <c r="G28" s="616"/>
      <c r="H28" s="616"/>
      <c r="I28" s="616"/>
      <c r="J28" s="616"/>
      <c r="K28" s="617"/>
      <c r="L28" s="405"/>
      <c r="M28" s="405"/>
      <c r="N28" s="405"/>
      <c r="O28" s="405"/>
      <c r="P28" s="263"/>
      <c r="Q28" s="405"/>
      <c r="R28" s="405"/>
      <c r="S28" s="405"/>
      <c r="T28" s="405"/>
      <c r="U28" s="263"/>
    </row>
    <row r="29" spans="1:21" ht="15.75" customHeight="1" thickBot="1">
      <c r="A29" s="615"/>
      <c r="B29" s="616"/>
      <c r="C29" s="616"/>
      <c r="D29" s="616"/>
      <c r="E29" s="616"/>
      <c r="F29" s="616"/>
      <c r="G29" s="616"/>
      <c r="H29" s="616"/>
      <c r="I29" s="616"/>
      <c r="J29" s="616"/>
      <c r="K29" s="617"/>
      <c r="L29" s="405"/>
      <c r="M29" s="405"/>
      <c r="N29" s="405"/>
      <c r="O29" s="405"/>
      <c r="P29" s="263"/>
      <c r="Q29" s="405"/>
      <c r="R29" s="405"/>
      <c r="S29" s="405"/>
      <c r="T29" s="405"/>
      <c r="U29" s="263"/>
    </row>
    <row r="30" spans="1:21" ht="30.75" customHeight="1" thickBot="1">
      <c r="A30" s="594" t="s">
        <v>821</v>
      </c>
      <c r="B30" s="595"/>
      <c r="C30" s="595"/>
      <c r="D30" s="596"/>
      <c r="E30" s="600"/>
      <c r="F30" s="601"/>
      <c r="G30" s="601"/>
      <c r="H30" s="601"/>
      <c r="I30" s="601"/>
      <c r="J30" s="601"/>
      <c r="K30" s="602"/>
      <c r="L30" s="403"/>
      <c r="M30" s="403"/>
      <c r="N30" s="403"/>
      <c r="O30" s="403"/>
      <c r="P30" s="264"/>
      <c r="Q30" s="403"/>
      <c r="R30" s="403"/>
      <c r="S30" s="403"/>
      <c r="T30" s="403"/>
      <c r="U30" s="264"/>
    </row>
    <row r="31" spans="1:21" ht="30" customHeight="1" thickBot="1">
      <c r="A31" s="594" t="s">
        <v>798</v>
      </c>
      <c r="B31" s="595"/>
      <c r="C31" s="595"/>
      <c r="D31" s="596"/>
      <c r="E31" s="597"/>
      <c r="F31" s="598"/>
      <c r="G31" s="598"/>
      <c r="H31" s="598"/>
      <c r="I31" s="598"/>
      <c r="J31" s="598"/>
      <c r="K31" s="599"/>
      <c r="L31" s="403"/>
      <c r="M31" s="403"/>
      <c r="N31" s="403"/>
      <c r="O31" s="403"/>
      <c r="P31" s="264"/>
      <c r="Q31" s="403"/>
      <c r="R31" s="403"/>
      <c r="S31" s="403"/>
      <c r="T31" s="403"/>
      <c r="U31" s="264"/>
    </row>
    <row r="32" spans="1:21" ht="20.25" customHeight="1" thickBot="1">
      <c r="A32" s="594" t="s">
        <v>774</v>
      </c>
      <c r="B32" s="595"/>
      <c r="C32" s="595"/>
      <c r="D32" s="596"/>
      <c r="E32" s="627"/>
      <c r="F32" s="628"/>
      <c r="G32" s="628"/>
      <c r="H32" s="628"/>
      <c r="I32" s="628"/>
      <c r="J32" s="628"/>
      <c r="K32" s="629"/>
      <c r="L32" s="403"/>
      <c r="M32" s="403"/>
      <c r="N32" s="403"/>
      <c r="O32" s="403"/>
      <c r="P32" s="264"/>
      <c r="Q32" s="403"/>
      <c r="R32" s="403"/>
      <c r="S32" s="403"/>
      <c r="T32" s="403"/>
      <c r="U32" s="264"/>
    </row>
    <row r="33" spans="1:21" ht="25.5" customHeight="1" thickBot="1">
      <c r="A33" s="588" t="s">
        <v>775</v>
      </c>
      <c r="B33" s="589"/>
      <c r="C33" s="589"/>
      <c r="D33" s="590"/>
      <c r="E33" s="630"/>
      <c r="F33" s="631"/>
      <c r="G33" s="631"/>
      <c r="H33" s="631"/>
      <c r="I33" s="631"/>
      <c r="J33" s="631"/>
      <c r="K33" s="632"/>
      <c r="L33" s="403"/>
      <c r="M33" s="403"/>
      <c r="N33" s="403"/>
      <c r="O33" s="403"/>
      <c r="P33" s="264"/>
      <c r="Q33" s="403"/>
      <c r="R33" s="403"/>
      <c r="S33" s="403"/>
      <c r="T33" s="403"/>
      <c r="U33" s="264"/>
    </row>
    <row r="34" spans="1:21" ht="20.25" customHeight="1" thickBot="1">
      <c r="A34" s="588" t="s">
        <v>776</v>
      </c>
      <c r="B34" s="589"/>
      <c r="C34" s="589"/>
      <c r="D34" s="590"/>
      <c r="E34" s="621"/>
      <c r="F34" s="622"/>
      <c r="G34" s="622"/>
      <c r="H34" s="622"/>
      <c r="I34" s="622"/>
      <c r="J34" s="622"/>
      <c r="K34" s="623"/>
      <c r="L34" s="405"/>
      <c r="M34" s="405"/>
      <c r="N34" s="405"/>
      <c r="O34" s="405"/>
      <c r="P34" s="263"/>
      <c r="Q34" s="405"/>
      <c r="R34" s="405"/>
      <c r="S34" s="405"/>
      <c r="T34" s="405"/>
      <c r="U34" s="263"/>
    </row>
    <row r="35" spans="1:21" ht="18" customHeight="1">
      <c r="A35" s="588" t="s">
        <v>779</v>
      </c>
      <c r="B35" s="589"/>
      <c r="C35" s="589"/>
      <c r="D35" s="589"/>
      <c r="E35" s="589"/>
      <c r="F35" s="589"/>
      <c r="G35" s="589"/>
      <c r="H35" s="589"/>
      <c r="I35" s="589"/>
      <c r="J35" s="589"/>
      <c r="K35" s="590"/>
      <c r="L35" s="405"/>
      <c r="M35" s="405"/>
      <c r="N35" s="405"/>
      <c r="O35" s="405"/>
      <c r="P35" s="263"/>
      <c r="Q35" s="405"/>
      <c r="R35" s="405"/>
      <c r="S35" s="405"/>
      <c r="T35" s="405"/>
      <c r="U35" s="263"/>
    </row>
    <row r="36" spans="1:21" ht="3.75" customHeight="1">
      <c r="A36" s="564"/>
      <c r="B36" s="565"/>
      <c r="C36" s="565"/>
      <c r="D36" s="565"/>
      <c r="E36" s="565"/>
      <c r="F36" s="565"/>
      <c r="G36" s="565"/>
      <c r="H36" s="565"/>
      <c r="I36" s="565"/>
      <c r="J36" s="565"/>
      <c r="K36" s="566"/>
      <c r="L36" s="405"/>
      <c r="M36" s="405"/>
      <c r="N36" s="405"/>
      <c r="O36" s="405"/>
      <c r="P36" s="263"/>
      <c r="Q36" s="405"/>
      <c r="R36" s="405"/>
      <c r="S36" s="405"/>
      <c r="T36" s="405"/>
      <c r="U36" s="263"/>
    </row>
    <row r="37" spans="1:21" ht="15" customHeight="1">
      <c r="A37" s="591" t="s">
        <v>784</v>
      </c>
      <c r="B37" s="592"/>
      <c r="C37" s="592"/>
      <c r="D37" s="592"/>
      <c r="E37" s="592"/>
      <c r="F37" s="592"/>
      <c r="G37" s="592"/>
      <c r="H37" s="592"/>
      <c r="I37" s="592"/>
      <c r="J37" s="592"/>
      <c r="K37" s="593"/>
      <c r="L37" s="405"/>
      <c r="M37" s="405"/>
      <c r="N37" s="405"/>
      <c r="O37" s="405"/>
      <c r="P37" s="263"/>
      <c r="Q37" s="405"/>
      <c r="R37" s="405"/>
      <c r="S37" s="405"/>
      <c r="T37" s="405"/>
      <c r="U37" s="263"/>
    </row>
    <row r="38" spans="1:21" ht="12.75" customHeight="1">
      <c r="A38" s="624" t="s">
        <v>814</v>
      </c>
      <c r="B38" s="625"/>
      <c r="C38" s="625"/>
      <c r="D38" s="625"/>
      <c r="E38" s="625"/>
      <c r="F38" s="625"/>
      <c r="G38" s="625"/>
      <c r="H38" s="625"/>
      <c r="I38" s="625"/>
      <c r="J38" s="625"/>
      <c r="K38" s="626"/>
      <c r="L38" s="405"/>
      <c r="M38" s="405"/>
      <c r="N38" s="405"/>
      <c r="O38" s="405"/>
      <c r="P38" s="263"/>
      <c r="Q38" s="405"/>
      <c r="R38" s="405"/>
      <c r="S38" s="405"/>
      <c r="T38" s="405"/>
      <c r="U38" s="263"/>
    </row>
    <row r="39" spans="1:21" ht="12.75" customHeight="1">
      <c r="A39" s="624"/>
      <c r="B39" s="625"/>
      <c r="C39" s="625"/>
      <c r="D39" s="625"/>
      <c r="E39" s="625"/>
      <c r="F39" s="625"/>
      <c r="G39" s="625"/>
      <c r="H39" s="625"/>
      <c r="I39" s="625"/>
      <c r="J39" s="625"/>
      <c r="K39" s="626"/>
      <c r="L39" s="405"/>
      <c r="M39" s="405"/>
      <c r="N39" s="405"/>
      <c r="O39" s="405"/>
      <c r="P39" s="263"/>
      <c r="Q39" s="405"/>
      <c r="R39" s="405"/>
      <c r="S39" s="405"/>
      <c r="T39" s="405"/>
      <c r="U39" s="263"/>
    </row>
    <row r="40" spans="1:21" ht="12.75" customHeight="1">
      <c r="A40" s="624"/>
      <c r="B40" s="625"/>
      <c r="C40" s="625"/>
      <c r="D40" s="625"/>
      <c r="E40" s="625"/>
      <c r="F40" s="625"/>
      <c r="G40" s="625"/>
      <c r="H40" s="625"/>
      <c r="I40" s="625"/>
      <c r="J40" s="625"/>
      <c r="K40" s="626"/>
      <c r="L40" s="405"/>
      <c r="M40" s="405"/>
      <c r="N40" s="405"/>
      <c r="O40" s="405"/>
      <c r="P40" s="263"/>
      <c r="Q40" s="405"/>
      <c r="R40" s="405"/>
      <c r="S40" s="405"/>
      <c r="T40" s="405"/>
      <c r="U40" s="263"/>
    </row>
    <row r="41" spans="1:21" ht="15.75">
      <c r="A41" s="624"/>
      <c r="B41" s="625"/>
      <c r="C41" s="625"/>
      <c r="D41" s="625"/>
      <c r="E41" s="625"/>
      <c r="F41" s="625"/>
      <c r="G41" s="625"/>
      <c r="H41" s="625"/>
      <c r="I41" s="625"/>
      <c r="J41" s="625"/>
      <c r="K41" s="626"/>
      <c r="L41" s="405"/>
      <c r="M41" s="405"/>
      <c r="N41" s="428"/>
      <c r="O41" s="405"/>
      <c r="P41" s="263"/>
      <c r="Q41" s="405"/>
      <c r="R41" s="405"/>
      <c r="S41" s="428"/>
      <c r="T41" s="405"/>
      <c r="U41" s="263"/>
    </row>
    <row r="42" spans="1:21" ht="13.5" customHeight="1" thickBot="1">
      <c r="A42" s="624"/>
      <c r="B42" s="625"/>
      <c r="C42" s="625"/>
      <c r="D42" s="625"/>
      <c r="E42" s="625"/>
      <c r="F42" s="625"/>
      <c r="G42" s="625"/>
      <c r="H42" s="625"/>
      <c r="I42" s="625"/>
      <c r="J42" s="625"/>
      <c r="K42" s="626"/>
      <c r="L42" s="405"/>
      <c r="M42" s="405"/>
      <c r="N42" s="405"/>
      <c r="O42" s="405"/>
      <c r="P42" s="263"/>
      <c r="Q42" s="405"/>
      <c r="R42" s="405"/>
      <c r="S42" s="405"/>
      <c r="T42" s="405"/>
      <c r="U42" s="263"/>
    </row>
    <row r="43" spans="1:21" ht="21" customHeight="1">
      <c r="A43" s="585" t="s">
        <v>783</v>
      </c>
      <c r="B43" s="586"/>
      <c r="C43" s="586"/>
      <c r="D43" s="586"/>
      <c r="E43" s="586"/>
      <c r="F43" s="586"/>
      <c r="G43" s="586"/>
      <c r="H43" s="586"/>
      <c r="I43" s="586"/>
      <c r="J43" s="586"/>
      <c r="K43" s="587"/>
      <c r="L43" s="405"/>
      <c r="M43" s="405"/>
      <c r="N43" s="405"/>
      <c r="O43" s="405"/>
      <c r="P43" s="263"/>
      <c r="Q43" s="405"/>
      <c r="R43" s="405"/>
      <c r="S43" s="405"/>
      <c r="T43" s="405"/>
      <c r="U43" s="263"/>
    </row>
    <row r="44" spans="1:21" ht="3.75" customHeight="1">
      <c r="A44" s="561"/>
      <c r="B44" s="562"/>
      <c r="C44" s="562"/>
      <c r="D44" s="562"/>
      <c r="E44" s="562"/>
      <c r="F44" s="562"/>
      <c r="G44" s="562"/>
      <c r="H44" s="562"/>
      <c r="I44" s="562"/>
      <c r="J44" s="562"/>
      <c r="K44" s="563"/>
      <c r="L44" s="405"/>
      <c r="M44" s="405"/>
      <c r="N44" s="405"/>
      <c r="O44" s="405"/>
      <c r="P44" s="263"/>
      <c r="Q44" s="405"/>
      <c r="R44" s="405"/>
      <c r="S44" s="405"/>
      <c r="T44" s="405"/>
      <c r="U44" s="263"/>
    </row>
    <row r="45" spans="1:22" ht="45.75" customHeight="1" thickBot="1">
      <c r="A45" s="582" t="s">
        <v>785</v>
      </c>
      <c r="B45" s="583"/>
      <c r="C45" s="583"/>
      <c r="D45" s="583"/>
      <c r="E45" s="583"/>
      <c r="F45" s="583"/>
      <c r="G45" s="583"/>
      <c r="H45" s="583"/>
      <c r="I45" s="583"/>
      <c r="J45" s="583"/>
      <c r="K45" s="584"/>
      <c r="L45" s="263"/>
      <c r="M45" s="263"/>
      <c r="N45" s="263"/>
      <c r="O45" s="263"/>
      <c r="P45" s="263"/>
      <c r="Q45" s="263"/>
      <c r="R45" s="263"/>
      <c r="S45" s="263"/>
      <c r="T45" s="263"/>
      <c r="U45" s="263"/>
      <c r="V45" s="263"/>
    </row>
    <row r="46" spans="1:22" ht="17.25" customHeight="1">
      <c r="A46" s="585" t="s">
        <v>778</v>
      </c>
      <c r="B46" s="586"/>
      <c r="C46" s="586"/>
      <c r="D46" s="586"/>
      <c r="E46" s="586"/>
      <c r="F46" s="586"/>
      <c r="G46" s="586"/>
      <c r="H46" s="586"/>
      <c r="I46" s="586"/>
      <c r="J46" s="586"/>
      <c r="K46" s="587"/>
      <c r="L46" s="263"/>
      <c r="M46" s="263"/>
      <c r="N46" s="263"/>
      <c r="O46" s="263"/>
      <c r="P46" s="263"/>
      <c r="Q46" s="263"/>
      <c r="R46" s="263"/>
      <c r="S46" s="263"/>
      <c r="T46" s="263"/>
      <c r="U46" s="263"/>
      <c r="V46" s="263"/>
    </row>
    <row r="47" spans="1:22" ht="3.75" customHeight="1">
      <c r="A47" s="561"/>
      <c r="B47" s="562"/>
      <c r="C47" s="562"/>
      <c r="D47" s="562"/>
      <c r="E47" s="562"/>
      <c r="F47" s="562"/>
      <c r="G47" s="562"/>
      <c r="H47" s="562"/>
      <c r="I47" s="562"/>
      <c r="J47" s="562"/>
      <c r="K47" s="563"/>
      <c r="L47" s="263"/>
      <c r="M47" s="263"/>
      <c r="N47" s="263"/>
      <c r="O47" s="263"/>
      <c r="P47" s="263"/>
      <c r="Q47" s="263"/>
      <c r="R47" s="263"/>
      <c r="S47" s="263"/>
      <c r="T47" s="263"/>
      <c r="U47" s="263"/>
      <c r="V47" s="263"/>
    </row>
    <row r="48" spans="1:22" ht="33" customHeight="1" thickBot="1">
      <c r="A48" s="582" t="s">
        <v>777</v>
      </c>
      <c r="B48" s="583"/>
      <c r="C48" s="583"/>
      <c r="D48" s="583"/>
      <c r="E48" s="583"/>
      <c r="F48" s="583"/>
      <c r="G48" s="583"/>
      <c r="H48" s="583"/>
      <c r="I48" s="583"/>
      <c r="J48" s="583"/>
      <c r="K48" s="584"/>
      <c r="L48" s="263"/>
      <c r="M48" s="263"/>
      <c r="N48" s="263"/>
      <c r="O48" s="263"/>
      <c r="P48" s="263"/>
      <c r="Q48" s="263"/>
      <c r="R48" s="263"/>
      <c r="S48" s="263"/>
      <c r="T48" s="263"/>
      <c r="U48" s="263"/>
      <c r="V48" s="263"/>
    </row>
    <row r="49" spans="1:22" ht="12.75">
      <c r="A49" s="263"/>
      <c r="B49" s="266"/>
      <c r="C49" s="263"/>
      <c r="D49" s="263"/>
      <c r="E49" s="263"/>
      <c r="F49" s="263"/>
      <c r="G49" s="263"/>
      <c r="H49" s="263"/>
      <c r="I49" s="263"/>
      <c r="J49" s="263"/>
      <c r="K49" s="263"/>
      <c r="L49" s="263"/>
      <c r="M49" s="263"/>
      <c r="N49" s="263"/>
      <c r="O49" s="263"/>
      <c r="P49" s="263"/>
      <c r="Q49" s="263"/>
      <c r="R49" s="263"/>
      <c r="S49" s="263"/>
      <c r="T49" s="263"/>
      <c r="U49" s="263"/>
      <c r="V49" s="263"/>
    </row>
    <row r="50" spans="1:22" ht="12.75">
      <c r="A50" s="263"/>
      <c r="B50" s="266"/>
      <c r="C50" s="263"/>
      <c r="D50" s="263"/>
      <c r="E50" s="263"/>
      <c r="F50" s="263"/>
      <c r="G50" s="263"/>
      <c r="H50" s="263"/>
      <c r="I50" s="263"/>
      <c r="J50" s="263"/>
      <c r="K50" s="263"/>
      <c r="L50" s="263"/>
      <c r="M50" s="263"/>
      <c r="N50" s="263"/>
      <c r="O50" s="263"/>
      <c r="P50" s="263"/>
      <c r="Q50" s="263"/>
      <c r="R50" s="263"/>
      <c r="S50" s="263"/>
      <c r="T50" s="263"/>
      <c r="U50" s="263"/>
      <c r="V50" s="263"/>
    </row>
    <row r="51" spans="1:22" ht="12.75">
      <c r="A51" s="263"/>
      <c r="B51" s="266"/>
      <c r="C51" s="263"/>
      <c r="D51" s="263"/>
      <c r="E51" s="263"/>
      <c r="F51" s="263"/>
      <c r="G51" s="263"/>
      <c r="H51" s="263"/>
      <c r="I51" s="263"/>
      <c r="J51" s="263"/>
      <c r="K51" s="263"/>
      <c r="L51" s="263"/>
      <c r="M51" s="263"/>
      <c r="N51" s="263"/>
      <c r="O51" s="263"/>
      <c r="P51" s="263"/>
      <c r="Q51" s="263"/>
      <c r="R51" s="263"/>
      <c r="S51" s="263"/>
      <c r="T51" s="263"/>
      <c r="U51" s="263"/>
      <c r="V51" s="263"/>
    </row>
    <row r="52" spans="1:22" ht="12.75">
      <c r="A52" s="263"/>
      <c r="B52" s="266"/>
      <c r="C52" s="263"/>
      <c r="D52" s="263"/>
      <c r="E52" s="263"/>
      <c r="F52" s="263"/>
      <c r="G52" s="263"/>
      <c r="H52" s="263"/>
      <c r="I52" s="263"/>
      <c r="J52" s="263"/>
      <c r="K52" s="263"/>
      <c r="L52" s="263"/>
      <c r="M52" s="263"/>
      <c r="N52" s="263"/>
      <c r="O52" s="263"/>
      <c r="P52" s="263"/>
      <c r="Q52" s="263"/>
      <c r="R52" s="263"/>
      <c r="S52" s="263"/>
      <c r="T52" s="263"/>
      <c r="U52" s="263"/>
      <c r="V52" s="263"/>
    </row>
    <row r="53" spans="1:22" ht="12.75">
      <c r="A53" s="263"/>
      <c r="B53" s="266"/>
      <c r="C53" s="263"/>
      <c r="D53" s="263"/>
      <c r="E53" s="263"/>
      <c r="F53" s="263"/>
      <c r="G53" s="263"/>
      <c r="H53" s="263"/>
      <c r="I53" s="263"/>
      <c r="J53" s="263"/>
      <c r="K53" s="263"/>
      <c r="L53" s="263"/>
      <c r="M53" s="263"/>
      <c r="N53" s="263"/>
      <c r="O53" s="263"/>
      <c r="P53" s="263"/>
      <c r="Q53" s="263"/>
      <c r="R53" s="263"/>
      <c r="S53" s="263"/>
      <c r="T53" s="263"/>
      <c r="U53" s="263"/>
      <c r="V53" s="263"/>
    </row>
    <row r="54" spans="1:22" ht="12.75">
      <c r="A54" s="263"/>
      <c r="B54" s="266"/>
      <c r="C54" s="263"/>
      <c r="D54" s="263"/>
      <c r="E54" s="263"/>
      <c r="F54" s="263"/>
      <c r="G54" s="263"/>
      <c r="H54" s="263"/>
      <c r="I54" s="263"/>
      <c r="J54" s="263"/>
      <c r="K54" s="263"/>
      <c r="L54" s="263"/>
      <c r="M54" s="263"/>
      <c r="N54" s="263"/>
      <c r="O54" s="263"/>
      <c r="P54" s="263"/>
      <c r="Q54" s="263"/>
      <c r="R54" s="263"/>
      <c r="S54" s="263"/>
      <c r="T54" s="263"/>
      <c r="U54" s="263"/>
      <c r="V54" s="263"/>
    </row>
    <row r="55" spans="1:22" ht="12.75">
      <c r="A55" s="263"/>
      <c r="B55" s="266"/>
      <c r="C55" s="263"/>
      <c r="D55" s="263"/>
      <c r="E55" s="263"/>
      <c r="F55" s="263"/>
      <c r="G55" s="263"/>
      <c r="H55" s="263"/>
      <c r="I55" s="263"/>
      <c r="J55" s="263"/>
      <c r="K55" s="263"/>
      <c r="L55" s="263"/>
      <c r="M55" s="263"/>
      <c r="N55" s="263"/>
      <c r="O55" s="263"/>
      <c r="P55" s="263"/>
      <c r="Q55" s="263"/>
      <c r="R55" s="263"/>
      <c r="S55" s="263"/>
      <c r="T55" s="263"/>
      <c r="U55" s="263"/>
      <c r="V55" s="263"/>
    </row>
    <row r="56" spans="1:22" ht="12.75">
      <c r="A56" s="263"/>
      <c r="B56" s="266"/>
      <c r="C56" s="263"/>
      <c r="D56" s="263"/>
      <c r="E56" s="263"/>
      <c r="F56" s="263"/>
      <c r="G56" s="263"/>
      <c r="H56" s="263"/>
      <c r="I56" s="263"/>
      <c r="J56" s="263"/>
      <c r="K56" s="263"/>
      <c r="L56" s="263"/>
      <c r="M56" s="263"/>
      <c r="N56" s="263"/>
      <c r="O56" s="263"/>
      <c r="P56" s="263"/>
      <c r="Q56" s="263"/>
      <c r="R56" s="263"/>
      <c r="S56" s="263"/>
      <c r="T56" s="263"/>
      <c r="U56" s="263"/>
      <c r="V56" s="263"/>
    </row>
    <row r="57" spans="1:22" ht="12.75">
      <c r="A57" s="263"/>
      <c r="B57" s="266"/>
      <c r="C57" s="263"/>
      <c r="D57" s="263"/>
      <c r="E57" s="263"/>
      <c r="F57" s="263"/>
      <c r="G57" s="263"/>
      <c r="H57" s="263"/>
      <c r="I57" s="263"/>
      <c r="J57" s="263"/>
      <c r="K57" s="263"/>
      <c r="L57" s="263"/>
      <c r="M57" s="263"/>
      <c r="N57" s="263"/>
      <c r="O57" s="263"/>
      <c r="P57" s="263"/>
      <c r="Q57" s="263"/>
      <c r="R57" s="263"/>
      <c r="S57" s="263"/>
      <c r="T57" s="263"/>
      <c r="U57" s="263"/>
      <c r="V57" s="263"/>
    </row>
    <row r="58" spans="1:22" ht="12.75">
      <c r="A58" s="263"/>
      <c r="B58" s="266"/>
      <c r="C58" s="263"/>
      <c r="D58" s="263"/>
      <c r="E58" s="263"/>
      <c r="F58" s="263"/>
      <c r="G58" s="263"/>
      <c r="H58" s="263"/>
      <c r="I58" s="263"/>
      <c r="J58" s="263"/>
      <c r="K58" s="263"/>
      <c r="L58" s="263"/>
      <c r="M58" s="263"/>
      <c r="N58" s="263"/>
      <c r="O58" s="263"/>
      <c r="P58" s="263"/>
      <c r="Q58" s="263"/>
      <c r="R58" s="263"/>
      <c r="S58" s="263"/>
      <c r="T58" s="263"/>
      <c r="U58" s="263"/>
      <c r="V58" s="263"/>
    </row>
    <row r="59" spans="1:22" ht="12.75">
      <c r="A59" s="263"/>
      <c r="B59" s="266"/>
      <c r="C59" s="263"/>
      <c r="D59" s="263"/>
      <c r="E59" s="263"/>
      <c r="F59" s="263"/>
      <c r="G59" s="263"/>
      <c r="H59" s="263"/>
      <c r="I59" s="263"/>
      <c r="J59" s="263"/>
      <c r="K59" s="263"/>
      <c r="L59" s="263"/>
      <c r="M59" s="263"/>
      <c r="N59" s="263"/>
      <c r="O59" s="263"/>
      <c r="P59" s="263"/>
      <c r="Q59" s="263"/>
      <c r="R59" s="263"/>
      <c r="S59" s="263"/>
      <c r="T59" s="263"/>
      <c r="U59" s="263"/>
      <c r="V59" s="263"/>
    </row>
    <row r="60" spans="1:22" ht="12.75">
      <c r="A60" s="263"/>
      <c r="B60" s="266"/>
      <c r="C60" s="263"/>
      <c r="D60" s="263"/>
      <c r="E60" s="263"/>
      <c r="F60" s="263"/>
      <c r="G60" s="263"/>
      <c r="H60" s="263"/>
      <c r="I60" s="263"/>
      <c r="J60" s="263"/>
      <c r="K60" s="263"/>
      <c r="L60" s="263"/>
      <c r="M60" s="263"/>
      <c r="N60" s="263"/>
      <c r="O60" s="263"/>
      <c r="P60" s="263"/>
      <c r="Q60" s="263"/>
      <c r="R60" s="263"/>
      <c r="S60" s="263"/>
      <c r="T60" s="263"/>
      <c r="U60" s="263"/>
      <c r="V60" s="263"/>
    </row>
    <row r="61" spans="1:22" ht="12.75">
      <c r="A61" s="263"/>
      <c r="B61" s="266"/>
      <c r="C61" s="263"/>
      <c r="D61" s="263"/>
      <c r="E61" s="263"/>
      <c r="F61" s="263"/>
      <c r="G61" s="263"/>
      <c r="H61" s="263"/>
      <c r="I61" s="263"/>
      <c r="J61" s="263"/>
      <c r="K61" s="263"/>
      <c r="L61" s="263"/>
      <c r="M61" s="263"/>
      <c r="N61" s="263"/>
      <c r="O61" s="263"/>
      <c r="P61" s="263"/>
      <c r="Q61" s="263"/>
      <c r="R61" s="263"/>
      <c r="S61" s="263"/>
      <c r="T61" s="263"/>
      <c r="U61" s="263"/>
      <c r="V61" s="263"/>
    </row>
    <row r="62" spans="1:22" ht="12.75">
      <c r="A62" s="263"/>
      <c r="B62" s="266"/>
      <c r="C62" s="263"/>
      <c r="D62" s="263"/>
      <c r="E62" s="263"/>
      <c r="F62" s="263"/>
      <c r="G62" s="263"/>
      <c r="H62" s="263"/>
      <c r="I62" s="263"/>
      <c r="J62" s="263"/>
      <c r="K62" s="263"/>
      <c r="L62" s="263"/>
      <c r="M62" s="263"/>
      <c r="N62" s="263"/>
      <c r="O62" s="263"/>
      <c r="P62" s="263"/>
      <c r="Q62" s="263"/>
      <c r="R62" s="263"/>
      <c r="S62" s="263"/>
      <c r="T62" s="263"/>
      <c r="U62" s="263"/>
      <c r="V62" s="263"/>
    </row>
    <row r="63" spans="1:22" ht="12.75">
      <c r="A63" s="263"/>
      <c r="B63" s="266"/>
      <c r="C63" s="263"/>
      <c r="D63" s="263"/>
      <c r="E63" s="263"/>
      <c r="F63" s="263"/>
      <c r="G63" s="263"/>
      <c r="H63" s="263"/>
      <c r="I63" s="263"/>
      <c r="J63" s="263"/>
      <c r="K63" s="263"/>
      <c r="L63" s="263"/>
      <c r="M63" s="263"/>
      <c r="N63" s="263"/>
      <c r="O63" s="263"/>
      <c r="P63" s="263"/>
      <c r="Q63" s="263"/>
      <c r="R63" s="263"/>
      <c r="S63" s="263"/>
      <c r="T63" s="263"/>
      <c r="U63" s="263"/>
      <c r="V63" s="263"/>
    </row>
    <row r="64" spans="1:22" ht="12.75">
      <c r="A64" s="263"/>
      <c r="B64" s="266"/>
      <c r="C64" s="263"/>
      <c r="D64" s="263"/>
      <c r="E64" s="263"/>
      <c r="F64" s="263"/>
      <c r="G64" s="263"/>
      <c r="H64" s="263"/>
      <c r="I64" s="263"/>
      <c r="J64" s="263"/>
      <c r="K64" s="263"/>
      <c r="L64" s="263"/>
      <c r="M64" s="263"/>
      <c r="N64" s="263"/>
      <c r="O64" s="263"/>
      <c r="P64" s="263"/>
      <c r="Q64" s="263"/>
      <c r="R64" s="263"/>
      <c r="S64" s="263"/>
      <c r="T64" s="263"/>
      <c r="U64" s="263"/>
      <c r="V64" s="263"/>
    </row>
    <row r="65" spans="1:22" ht="12.75">
      <c r="A65" s="263"/>
      <c r="B65" s="266"/>
      <c r="C65" s="263"/>
      <c r="D65" s="263"/>
      <c r="E65" s="263"/>
      <c r="F65" s="263"/>
      <c r="G65" s="263"/>
      <c r="H65" s="263"/>
      <c r="I65" s="263"/>
      <c r="J65" s="263"/>
      <c r="K65" s="263"/>
      <c r="L65" s="263"/>
      <c r="M65" s="263"/>
      <c r="N65" s="263"/>
      <c r="O65" s="263"/>
      <c r="P65" s="263"/>
      <c r="Q65" s="263"/>
      <c r="R65" s="263"/>
      <c r="S65" s="263"/>
      <c r="T65" s="263"/>
      <c r="U65" s="263"/>
      <c r="V65" s="263"/>
    </row>
    <row r="66" spans="1:22" ht="12.75">
      <c r="A66" s="263"/>
      <c r="B66" s="266"/>
      <c r="C66" s="263"/>
      <c r="D66" s="263"/>
      <c r="E66" s="263"/>
      <c r="F66" s="263"/>
      <c r="G66" s="263"/>
      <c r="H66" s="263"/>
      <c r="I66" s="263"/>
      <c r="J66" s="263"/>
      <c r="K66" s="263"/>
      <c r="L66" s="263"/>
      <c r="M66" s="263"/>
      <c r="N66" s="263"/>
      <c r="O66" s="263"/>
      <c r="P66" s="263"/>
      <c r="Q66" s="263"/>
      <c r="R66" s="263"/>
      <c r="S66" s="263"/>
      <c r="T66" s="263"/>
      <c r="U66" s="263"/>
      <c r="V66" s="263"/>
    </row>
    <row r="67" spans="1:22" ht="12.75">
      <c r="A67" s="263"/>
      <c r="B67" s="266"/>
      <c r="C67" s="263"/>
      <c r="D67" s="263"/>
      <c r="E67" s="263"/>
      <c r="F67" s="263"/>
      <c r="G67" s="263"/>
      <c r="H67" s="263"/>
      <c r="I67" s="263"/>
      <c r="J67" s="263"/>
      <c r="K67" s="263"/>
      <c r="L67" s="263"/>
      <c r="M67" s="263"/>
      <c r="N67" s="263"/>
      <c r="O67" s="263"/>
      <c r="P67" s="263"/>
      <c r="Q67" s="263"/>
      <c r="R67" s="263"/>
      <c r="S67" s="263"/>
      <c r="T67" s="263"/>
      <c r="U67" s="263"/>
      <c r="V67" s="263"/>
    </row>
    <row r="68" spans="1:22" ht="12.75">
      <c r="A68" s="263"/>
      <c r="B68" s="266"/>
      <c r="C68" s="263"/>
      <c r="D68" s="263"/>
      <c r="E68" s="263"/>
      <c r="F68" s="263"/>
      <c r="G68" s="263"/>
      <c r="H68" s="263"/>
      <c r="I68" s="263"/>
      <c r="J68" s="263"/>
      <c r="K68" s="263"/>
      <c r="L68" s="263"/>
      <c r="M68" s="263"/>
      <c r="N68" s="263"/>
      <c r="O68" s="263"/>
      <c r="P68" s="263"/>
      <c r="Q68" s="263"/>
      <c r="R68" s="263"/>
      <c r="S68" s="263"/>
      <c r="T68" s="263"/>
      <c r="U68" s="263"/>
      <c r="V68" s="263"/>
    </row>
    <row r="69" spans="1:22" ht="12.75">
      <c r="A69" s="263"/>
      <c r="B69" s="266"/>
      <c r="C69" s="263"/>
      <c r="D69" s="263"/>
      <c r="E69" s="263"/>
      <c r="F69" s="263"/>
      <c r="G69" s="263"/>
      <c r="H69" s="263"/>
      <c r="I69" s="263"/>
      <c r="J69" s="263"/>
      <c r="K69" s="263"/>
      <c r="L69" s="263"/>
      <c r="M69" s="263"/>
      <c r="N69" s="263"/>
      <c r="O69" s="263"/>
      <c r="P69" s="263"/>
      <c r="Q69" s="263"/>
      <c r="R69" s="263"/>
      <c r="S69" s="263"/>
      <c r="T69" s="263"/>
      <c r="U69" s="263"/>
      <c r="V69" s="263"/>
    </row>
    <row r="70" spans="1:22" ht="12.75">
      <c r="A70" s="263"/>
      <c r="B70" s="266"/>
      <c r="C70" s="263"/>
      <c r="D70" s="263"/>
      <c r="E70" s="263"/>
      <c r="F70" s="263"/>
      <c r="G70" s="263"/>
      <c r="H70" s="263"/>
      <c r="I70" s="263"/>
      <c r="J70" s="263"/>
      <c r="K70" s="263"/>
      <c r="L70" s="263"/>
      <c r="M70" s="263"/>
      <c r="N70" s="263"/>
      <c r="O70" s="263"/>
      <c r="P70" s="263"/>
      <c r="Q70" s="263"/>
      <c r="R70" s="263"/>
      <c r="S70" s="263"/>
      <c r="T70" s="263"/>
      <c r="U70" s="263"/>
      <c r="V70" s="263"/>
    </row>
    <row r="71" spans="1:22" ht="12.75">
      <c r="A71" s="263"/>
      <c r="B71" s="266"/>
      <c r="C71" s="263"/>
      <c r="D71" s="263"/>
      <c r="E71" s="263"/>
      <c r="F71" s="263"/>
      <c r="G71" s="263"/>
      <c r="H71" s="263"/>
      <c r="I71" s="263"/>
      <c r="J71" s="263"/>
      <c r="K71" s="263"/>
      <c r="L71" s="263"/>
      <c r="M71" s="263"/>
      <c r="N71" s="263"/>
      <c r="O71" s="263"/>
      <c r="P71" s="263"/>
      <c r="Q71" s="263"/>
      <c r="R71" s="263"/>
      <c r="S71" s="263"/>
      <c r="T71" s="263"/>
      <c r="U71" s="263"/>
      <c r="V71" s="263"/>
    </row>
    <row r="72" spans="1:22" ht="12.75">
      <c r="A72" s="263"/>
      <c r="B72" s="266"/>
      <c r="C72" s="263"/>
      <c r="D72" s="263"/>
      <c r="E72" s="263"/>
      <c r="F72" s="263"/>
      <c r="G72" s="263"/>
      <c r="H72" s="263"/>
      <c r="I72" s="263"/>
      <c r="J72" s="263"/>
      <c r="K72" s="263"/>
      <c r="L72" s="263"/>
      <c r="M72" s="263"/>
      <c r="N72" s="263"/>
      <c r="O72" s="263"/>
      <c r="P72" s="263"/>
      <c r="Q72" s="263"/>
      <c r="R72" s="263"/>
      <c r="S72" s="263"/>
      <c r="T72" s="263"/>
      <c r="U72" s="263"/>
      <c r="V72" s="263"/>
    </row>
    <row r="73" spans="1:22" ht="12.75">
      <c r="A73" s="263"/>
      <c r="B73" s="266"/>
      <c r="C73" s="263"/>
      <c r="D73" s="263"/>
      <c r="E73" s="263"/>
      <c r="F73" s="263"/>
      <c r="G73" s="263"/>
      <c r="H73" s="263"/>
      <c r="I73" s="263"/>
      <c r="J73" s="263"/>
      <c r="K73" s="263"/>
      <c r="L73" s="263"/>
      <c r="M73" s="263"/>
      <c r="N73" s="263"/>
      <c r="O73" s="263"/>
      <c r="P73" s="263"/>
      <c r="Q73" s="263"/>
      <c r="R73" s="263"/>
      <c r="S73" s="263"/>
      <c r="T73" s="263"/>
      <c r="U73" s="263"/>
      <c r="V73" s="263"/>
    </row>
    <row r="74" spans="1:22" ht="12.75">
      <c r="A74" s="263"/>
      <c r="B74" s="266"/>
      <c r="C74" s="263"/>
      <c r="D74" s="263"/>
      <c r="E74" s="263"/>
      <c r="F74" s="263"/>
      <c r="G74" s="263"/>
      <c r="H74" s="263"/>
      <c r="I74" s="263"/>
      <c r="J74" s="263"/>
      <c r="K74" s="263"/>
      <c r="L74" s="263"/>
      <c r="M74" s="263"/>
      <c r="N74" s="263"/>
      <c r="O74" s="263"/>
      <c r="P74" s="263"/>
      <c r="Q74" s="263"/>
      <c r="R74" s="263"/>
      <c r="S74" s="263"/>
      <c r="T74" s="263"/>
      <c r="U74" s="263"/>
      <c r="V74" s="263"/>
    </row>
    <row r="75" spans="1:22" ht="12.75">
      <c r="A75" s="263"/>
      <c r="B75" s="266"/>
      <c r="C75" s="263"/>
      <c r="D75" s="263"/>
      <c r="E75" s="263"/>
      <c r="F75" s="263"/>
      <c r="G75" s="263"/>
      <c r="H75" s="263"/>
      <c r="I75" s="263"/>
      <c r="J75" s="263"/>
      <c r="K75" s="263"/>
      <c r="L75" s="263"/>
      <c r="M75" s="263"/>
      <c r="N75" s="263"/>
      <c r="O75" s="263"/>
      <c r="P75" s="263"/>
      <c r="Q75" s="263"/>
      <c r="R75" s="263"/>
      <c r="S75" s="263"/>
      <c r="T75" s="263"/>
      <c r="U75" s="263"/>
      <c r="V75" s="263"/>
    </row>
    <row r="76" spans="1:22" ht="12.75">
      <c r="A76" s="263"/>
      <c r="B76" s="266"/>
      <c r="C76" s="263"/>
      <c r="D76" s="263"/>
      <c r="E76" s="263"/>
      <c r="F76" s="263"/>
      <c r="G76" s="263"/>
      <c r="H76" s="263"/>
      <c r="I76" s="263"/>
      <c r="J76" s="263"/>
      <c r="K76" s="263"/>
      <c r="L76" s="263"/>
      <c r="M76" s="263"/>
      <c r="N76" s="263"/>
      <c r="O76" s="263"/>
      <c r="P76" s="263"/>
      <c r="Q76" s="263"/>
      <c r="R76" s="263"/>
      <c r="S76" s="263"/>
      <c r="T76" s="263"/>
      <c r="U76" s="263"/>
      <c r="V76" s="263"/>
    </row>
    <row r="77" spans="1:22" ht="12.75">
      <c r="A77" s="263"/>
      <c r="B77" s="266"/>
      <c r="C77" s="263"/>
      <c r="D77" s="263"/>
      <c r="E77" s="263"/>
      <c r="F77" s="263"/>
      <c r="G77" s="263"/>
      <c r="H77" s="263"/>
      <c r="I77" s="263"/>
      <c r="J77" s="263"/>
      <c r="K77" s="263"/>
      <c r="L77" s="263"/>
      <c r="M77" s="263"/>
      <c r="N77" s="263"/>
      <c r="O77" s="263"/>
      <c r="P77" s="263"/>
      <c r="Q77" s="263"/>
      <c r="R77" s="263"/>
      <c r="S77" s="263"/>
      <c r="T77" s="263"/>
      <c r="U77" s="263"/>
      <c r="V77" s="263"/>
    </row>
    <row r="78" spans="1:22" ht="12.75">
      <c r="A78" s="263"/>
      <c r="B78" s="266"/>
      <c r="C78" s="263"/>
      <c r="D78" s="263"/>
      <c r="E78" s="263"/>
      <c r="F78" s="263"/>
      <c r="G78" s="263"/>
      <c r="H78" s="263"/>
      <c r="I78" s="263"/>
      <c r="J78" s="263"/>
      <c r="K78" s="263"/>
      <c r="L78" s="263"/>
      <c r="M78" s="263"/>
      <c r="N78" s="263"/>
      <c r="O78" s="263"/>
      <c r="P78" s="263"/>
      <c r="Q78" s="263"/>
      <c r="R78" s="263"/>
      <c r="S78" s="263"/>
      <c r="T78" s="263"/>
      <c r="U78" s="263"/>
      <c r="V78" s="263"/>
    </row>
    <row r="79" spans="1:22" ht="12.75">
      <c r="A79" s="263"/>
      <c r="B79" s="266"/>
      <c r="C79" s="263"/>
      <c r="D79" s="263"/>
      <c r="E79" s="263"/>
      <c r="F79" s="263"/>
      <c r="G79" s="263"/>
      <c r="H79" s="263"/>
      <c r="I79" s="263"/>
      <c r="J79" s="263"/>
      <c r="K79" s="263"/>
      <c r="L79" s="263"/>
      <c r="M79" s="263"/>
      <c r="N79" s="263"/>
      <c r="O79" s="263"/>
      <c r="P79" s="263"/>
      <c r="Q79" s="263"/>
      <c r="R79" s="263"/>
      <c r="S79" s="263"/>
      <c r="T79" s="263"/>
      <c r="U79" s="263"/>
      <c r="V79" s="263"/>
    </row>
    <row r="80" spans="1:22" ht="12.75">
      <c r="A80" s="263"/>
      <c r="B80" s="266"/>
      <c r="C80" s="263"/>
      <c r="D80" s="263"/>
      <c r="E80" s="263"/>
      <c r="F80" s="263"/>
      <c r="G80" s="263"/>
      <c r="H80" s="263"/>
      <c r="I80" s="263"/>
      <c r="J80" s="263"/>
      <c r="K80" s="263"/>
      <c r="L80" s="263"/>
      <c r="M80" s="263"/>
      <c r="N80" s="263"/>
      <c r="O80" s="263"/>
      <c r="P80" s="263"/>
      <c r="Q80" s="263"/>
      <c r="R80" s="263"/>
      <c r="S80" s="263"/>
      <c r="T80" s="263"/>
      <c r="U80" s="263"/>
      <c r="V80" s="263"/>
    </row>
    <row r="81" spans="1:22" ht="12.75">
      <c r="A81" s="263"/>
      <c r="B81" s="266"/>
      <c r="C81" s="263"/>
      <c r="D81" s="263"/>
      <c r="E81" s="263"/>
      <c r="F81" s="263"/>
      <c r="G81" s="263"/>
      <c r="H81" s="263"/>
      <c r="I81" s="263"/>
      <c r="J81" s="263"/>
      <c r="K81" s="263"/>
      <c r="L81" s="263"/>
      <c r="M81" s="263"/>
      <c r="N81" s="263"/>
      <c r="O81" s="263"/>
      <c r="P81" s="263"/>
      <c r="Q81" s="263"/>
      <c r="R81" s="263"/>
      <c r="S81" s="263"/>
      <c r="T81" s="263"/>
      <c r="U81" s="263"/>
      <c r="V81" s="263"/>
    </row>
    <row r="82" spans="1:22" ht="12.75">
      <c r="A82" s="263"/>
      <c r="B82" s="266"/>
      <c r="C82" s="263"/>
      <c r="D82" s="263"/>
      <c r="E82" s="263"/>
      <c r="F82" s="263"/>
      <c r="G82" s="263"/>
      <c r="H82" s="263"/>
      <c r="I82" s="263"/>
      <c r="J82" s="263"/>
      <c r="K82" s="263"/>
      <c r="L82" s="263"/>
      <c r="M82" s="263"/>
      <c r="N82" s="263"/>
      <c r="O82" s="263"/>
      <c r="P82" s="263"/>
      <c r="Q82" s="263"/>
      <c r="R82" s="263"/>
      <c r="S82" s="263"/>
      <c r="T82" s="263"/>
      <c r="U82" s="263"/>
      <c r="V82" s="263"/>
    </row>
    <row r="83" spans="1:22" ht="12.75">
      <c r="A83" s="263"/>
      <c r="B83" s="266"/>
      <c r="C83" s="263"/>
      <c r="D83" s="263"/>
      <c r="E83" s="263"/>
      <c r="F83" s="263"/>
      <c r="G83" s="263"/>
      <c r="H83" s="263"/>
      <c r="I83" s="263"/>
      <c r="J83" s="263"/>
      <c r="K83" s="263"/>
      <c r="L83" s="263"/>
      <c r="M83" s="263"/>
      <c r="N83" s="263"/>
      <c r="O83" s="263"/>
      <c r="P83" s="263"/>
      <c r="Q83" s="263"/>
      <c r="R83" s="263"/>
      <c r="S83" s="263"/>
      <c r="T83" s="263"/>
      <c r="U83" s="263"/>
      <c r="V83" s="263"/>
    </row>
    <row r="84" spans="1:22" ht="12.75">
      <c r="A84" s="263"/>
      <c r="B84" s="266"/>
      <c r="C84" s="263"/>
      <c r="D84" s="263"/>
      <c r="E84" s="263"/>
      <c r="F84" s="263"/>
      <c r="G84" s="263"/>
      <c r="H84" s="263"/>
      <c r="I84" s="263"/>
      <c r="J84" s="263"/>
      <c r="K84" s="263"/>
      <c r="L84" s="263"/>
      <c r="M84" s="263"/>
      <c r="N84" s="263"/>
      <c r="O84" s="263"/>
      <c r="P84" s="263"/>
      <c r="Q84" s="263"/>
      <c r="R84" s="263"/>
      <c r="S84" s="263"/>
      <c r="T84" s="263"/>
      <c r="U84" s="263"/>
      <c r="V84" s="263"/>
    </row>
    <row r="85" spans="1:22" ht="12.75">
      <c r="A85" s="263"/>
      <c r="B85" s="266"/>
      <c r="C85" s="263"/>
      <c r="D85" s="263"/>
      <c r="E85" s="263"/>
      <c r="F85" s="263"/>
      <c r="G85" s="263"/>
      <c r="H85" s="263"/>
      <c r="I85" s="263"/>
      <c r="J85" s="263"/>
      <c r="K85" s="263"/>
      <c r="L85" s="263"/>
      <c r="M85" s="263"/>
      <c r="N85" s="263"/>
      <c r="O85" s="263"/>
      <c r="P85" s="263"/>
      <c r="Q85" s="263"/>
      <c r="R85" s="263"/>
      <c r="S85" s="263"/>
      <c r="T85" s="263"/>
      <c r="U85" s="263"/>
      <c r="V85" s="263"/>
    </row>
    <row r="86" spans="1:22" ht="12.75">
      <c r="A86" s="263"/>
      <c r="B86" s="266"/>
      <c r="C86" s="263"/>
      <c r="D86" s="263"/>
      <c r="E86" s="263"/>
      <c r="F86" s="263"/>
      <c r="G86" s="263"/>
      <c r="H86" s="263"/>
      <c r="I86" s="263"/>
      <c r="J86" s="263"/>
      <c r="K86" s="263"/>
      <c r="L86" s="263"/>
      <c r="M86" s="263"/>
      <c r="N86" s="263"/>
      <c r="O86" s="263"/>
      <c r="P86" s="263"/>
      <c r="Q86" s="263"/>
      <c r="R86" s="263"/>
      <c r="S86" s="263"/>
      <c r="T86" s="263"/>
      <c r="U86" s="263"/>
      <c r="V86" s="263"/>
    </row>
    <row r="87" spans="1:22" ht="12.75">
      <c r="A87" s="263"/>
      <c r="B87" s="266"/>
      <c r="C87" s="263"/>
      <c r="D87" s="263"/>
      <c r="E87" s="263"/>
      <c r="F87" s="263"/>
      <c r="G87" s="263"/>
      <c r="H87" s="263"/>
      <c r="I87" s="263"/>
      <c r="J87" s="263"/>
      <c r="K87" s="263"/>
      <c r="L87" s="263"/>
      <c r="M87" s="263"/>
      <c r="N87" s="263"/>
      <c r="O87" s="263"/>
      <c r="P87" s="263"/>
      <c r="Q87" s="263"/>
      <c r="R87" s="263"/>
      <c r="S87" s="263"/>
      <c r="T87" s="263"/>
      <c r="U87" s="263"/>
      <c r="V87" s="263"/>
    </row>
  </sheetData>
  <sheetProtection password="860F" sheet="1"/>
  <mergeCells count="63">
    <mergeCell ref="F15:I15"/>
    <mergeCell ref="F18:H18"/>
    <mergeCell ref="G13:K13"/>
    <mergeCell ref="E14:F14"/>
    <mergeCell ref="G14:K14"/>
    <mergeCell ref="B13:C13"/>
    <mergeCell ref="B14:D14"/>
    <mergeCell ref="A19:D19"/>
    <mergeCell ref="E19:K19"/>
    <mergeCell ref="F17:H17"/>
    <mergeCell ref="A15:D18"/>
    <mergeCell ref="F16:H16"/>
    <mergeCell ref="I10:K10"/>
    <mergeCell ref="B11:D11"/>
    <mergeCell ref="F11:G11"/>
    <mergeCell ref="I11:K11"/>
    <mergeCell ref="E13:F13"/>
    <mergeCell ref="B12:G12"/>
    <mergeCell ref="I12:K12"/>
    <mergeCell ref="B8:D8"/>
    <mergeCell ref="F8:G8"/>
    <mergeCell ref="I8:K8"/>
    <mergeCell ref="B9:D9"/>
    <mergeCell ref="F9:G9"/>
    <mergeCell ref="I9:K9"/>
    <mergeCell ref="B10:D10"/>
    <mergeCell ref="F10:G10"/>
    <mergeCell ref="B6:D6"/>
    <mergeCell ref="E6:F6"/>
    <mergeCell ref="G6:K6"/>
    <mergeCell ref="B7:D7"/>
    <mergeCell ref="E7:F7"/>
    <mergeCell ref="G7:K7"/>
    <mergeCell ref="B3:E3"/>
    <mergeCell ref="F3:G3"/>
    <mergeCell ref="H3:K3"/>
    <mergeCell ref="B4:K4"/>
    <mergeCell ref="B5:D5"/>
    <mergeCell ref="F5:G5"/>
    <mergeCell ref="E34:K34"/>
    <mergeCell ref="A38:K42"/>
    <mergeCell ref="E32:K32"/>
    <mergeCell ref="A33:D33"/>
    <mergeCell ref="E33:K33"/>
    <mergeCell ref="A34:D34"/>
    <mergeCell ref="E31:K31"/>
    <mergeCell ref="E30:K30"/>
    <mergeCell ref="A20:D20"/>
    <mergeCell ref="E20:K20"/>
    <mergeCell ref="A22:K22"/>
    <mergeCell ref="A23:K29"/>
    <mergeCell ref="A21:D21"/>
    <mergeCell ref="E21:K21"/>
    <mergeCell ref="G1:H1"/>
    <mergeCell ref="A45:K45"/>
    <mergeCell ref="A43:K43"/>
    <mergeCell ref="A48:K48"/>
    <mergeCell ref="A46:K46"/>
    <mergeCell ref="A35:K35"/>
    <mergeCell ref="A37:K37"/>
    <mergeCell ref="A30:D30"/>
    <mergeCell ref="A32:D32"/>
    <mergeCell ref="A31:D31"/>
  </mergeCells>
  <dataValidations count="2">
    <dataValidation type="list" allowBlank="1" showInputMessage="1" showErrorMessage="1" sqref="B13:C13">
      <formula1>rgFullHalf</formula1>
    </dataValidation>
    <dataValidation type="list" allowBlank="1" showInputMessage="1" showErrorMessage="1" sqref="G13:K13">
      <formula1>"Tpye I, Type II"</formula1>
    </dataValidation>
  </dataValidations>
  <printOptions horizontalCentered="1"/>
  <pageMargins left="0" right="0" top="0" bottom="0" header="0" footer="0"/>
  <pageSetup horizontalDpi="600" verticalDpi="600" orientation="portrait" scale="97" r:id="rId1"/>
  <headerFooter>
    <oddFooter>&amp;LNSES Budget Template - Approved&amp;C01/2023</oddFooter>
  </headerFooter>
  <ignoredErrors>
    <ignoredError sqref="H3 B3:G3 I3:K3 G7:K7 I8:K8 B12:C12 B10:H10 B11:C11 I9:K9 I11:K11 J10:K10 I10 B14:C14 B13:D13 F13 B8:C8 C7 E12:K12 E11:H11 E14:K14 B9:E9 G9:H9 F8:G8 F9 E4:K4 H6:K6 B6:C6 F5 C4 K5 I5 D6:F6 C5:E5 J5 D4 G5:H5" unlockedFormula="1"/>
  </ignoredErrors>
</worksheet>
</file>

<file path=xl/worksheets/sheet10.xml><?xml version="1.0" encoding="utf-8"?>
<worksheet xmlns="http://schemas.openxmlformats.org/spreadsheetml/2006/main" xmlns:r="http://schemas.openxmlformats.org/officeDocument/2006/relationships">
  <dimension ref="A1:F63"/>
  <sheetViews>
    <sheetView zoomScalePageLayoutView="0" workbookViewId="0" topLeftCell="A1">
      <selection activeCell="F17" sqref="F17"/>
    </sheetView>
  </sheetViews>
  <sheetFormatPr defaultColWidth="9.140625" defaultRowHeight="12.75"/>
  <cols>
    <col min="1" max="1" width="16.57421875" style="18" customWidth="1"/>
    <col min="2" max="2" width="41.57421875" style="18" customWidth="1"/>
    <col min="3" max="3" width="8.140625" style="98" customWidth="1"/>
    <col min="4" max="5" width="14.7109375" style="92" customWidth="1"/>
    <col min="6" max="6" width="50.00390625" style="18" customWidth="1"/>
    <col min="7" max="7" width="9.140625" style="18" customWidth="1"/>
    <col min="8" max="8" width="9.140625" style="18" hidden="1" customWidth="1"/>
    <col min="9" max="16384" width="9.140625" style="18" customWidth="1"/>
  </cols>
  <sheetData>
    <row r="1" spans="1:6" s="23" customFormat="1" ht="18.75" customHeight="1">
      <c r="A1" s="19" t="str">
        <f>clWBTitle</f>
        <v>Nonpublic Special Education School Budget for FY 2024</v>
      </c>
      <c r="B1" s="19"/>
      <c r="C1" s="74"/>
      <c r="D1" s="431" t="s">
        <v>713</v>
      </c>
      <c r="E1" s="431"/>
      <c r="F1" s="75" t="s">
        <v>105</v>
      </c>
    </row>
    <row r="2" spans="1:6" s="23" customFormat="1" ht="15" customHeight="1">
      <c r="A2" s="19" t="str">
        <f>"School"&amp;CHAR(151)&amp;clSchoolName</f>
        <v>School—</v>
      </c>
      <c r="B2" s="19"/>
      <c r="C2" s="74"/>
      <c r="D2" s="74"/>
      <c r="E2" s="74"/>
      <c r="F2" s="76"/>
    </row>
    <row r="3" spans="1:6" s="23" customFormat="1" ht="15" customHeight="1">
      <c r="A3" s="19" t="str">
        <f>"Program"&amp;CHAR(151)&amp;clProgramName</f>
        <v>Program—</v>
      </c>
      <c r="B3" s="19"/>
      <c r="C3" s="77"/>
      <c r="D3" s="78"/>
      <c r="E3" s="78"/>
      <c r="F3" s="80"/>
    </row>
    <row r="4" spans="1:5" s="23" customFormat="1" ht="33.75" customHeight="1" thickBot="1">
      <c r="A4" s="26" t="s">
        <v>17</v>
      </c>
      <c r="B4" s="26"/>
      <c r="C4" s="26"/>
      <c r="D4" s="81"/>
      <c r="E4" s="81"/>
    </row>
    <row r="5" spans="1:6" s="85" customFormat="1" ht="13.5" customHeight="1" thickBot="1">
      <c r="A5" s="386" t="s">
        <v>647</v>
      </c>
      <c r="B5" s="83" t="s">
        <v>646</v>
      </c>
      <c r="C5" s="82" t="s">
        <v>15</v>
      </c>
      <c r="D5" s="83" t="s">
        <v>101</v>
      </c>
      <c r="E5" s="447" t="s">
        <v>763</v>
      </c>
      <c r="F5" s="84" t="s">
        <v>18</v>
      </c>
    </row>
    <row r="6" spans="1:6" ht="23.25" customHeight="1">
      <c r="A6" s="235"/>
      <c r="B6" s="365"/>
      <c r="C6" s="137">
        <v>0</v>
      </c>
      <c r="D6" s="131">
        <v>0</v>
      </c>
      <c r="E6" s="546" t="str">
        <f>IF(D6=0," ",D6/C6)</f>
        <v> </v>
      </c>
      <c r="F6" s="132"/>
    </row>
    <row r="7" spans="1:6" ht="23.25" customHeight="1">
      <c r="A7" s="236"/>
      <c r="B7" s="366"/>
      <c r="C7" s="137"/>
      <c r="D7" s="133"/>
      <c r="E7" s="547" t="str">
        <f aca="true" t="shared" si="0" ref="E7:E20">IF(D7=0," ",D7/C7)</f>
        <v> </v>
      </c>
      <c r="F7" s="134"/>
    </row>
    <row r="8" spans="1:6" ht="23.25" customHeight="1">
      <c r="A8" s="236"/>
      <c r="B8" s="366"/>
      <c r="C8" s="137"/>
      <c r="D8" s="133"/>
      <c r="E8" s="547" t="str">
        <f t="shared" si="0"/>
        <v> </v>
      </c>
      <c r="F8" s="134"/>
    </row>
    <row r="9" spans="1:6" ht="23.25" customHeight="1">
      <c r="A9" s="236"/>
      <c r="B9" s="366"/>
      <c r="C9" s="137"/>
      <c r="D9" s="133"/>
      <c r="E9" s="547" t="str">
        <f t="shared" si="0"/>
        <v> </v>
      </c>
      <c r="F9" s="134"/>
    </row>
    <row r="10" spans="1:6" ht="23.25" customHeight="1">
      <c r="A10" s="236"/>
      <c r="B10" s="366"/>
      <c r="C10" s="137"/>
      <c r="D10" s="133"/>
      <c r="E10" s="547" t="str">
        <f t="shared" si="0"/>
        <v> </v>
      </c>
      <c r="F10" s="134"/>
    </row>
    <row r="11" spans="1:6" ht="23.25" customHeight="1">
      <c r="A11" s="236"/>
      <c r="B11" s="366"/>
      <c r="C11" s="137"/>
      <c r="D11" s="133"/>
      <c r="E11" s="547" t="str">
        <f t="shared" si="0"/>
        <v> </v>
      </c>
      <c r="F11" s="134"/>
    </row>
    <row r="12" spans="1:6" ht="23.25" customHeight="1">
      <c r="A12" s="236"/>
      <c r="B12" s="366"/>
      <c r="C12" s="137"/>
      <c r="D12" s="133"/>
      <c r="E12" s="547" t="str">
        <f t="shared" si="0"/>
        <v> </v>
      </c>
      <c r="F12" s="134"/>
    </row>
    <row r="13" spans="1:6" ht="23.25" customHeight="1">
      <c r="A13" s="236"/>
      <c r="B13" s="366"/>
      <c r="C13" s="137"/>
      <c r="D13" s="133"/>
      <c r="E13" s="547" t="str">
        <f t="shared" si="0"/>
        <v> </v>
      </c>
      <c r="F13" s="134"/>
    </row>
    <row r="14" spans="1:6" ht="23.25" customHeight="1">
      <c r="A14" s="236"/>
      <c r="B14" s="366"/>
      <c r="C14" s="137"/>
      <c r="D14" s="133"/>
      <c r="E14" s="547" t="str">
        <f t="shared" si="0"/>
        <v> </v>
      </c>
      <c r="F14" s="134"/>
    </row>
    <row r="15" spans="1:6" ht="23.25" customHeight="1">
      <c r="A15" s="236"/>
      <c r="B15" s="366"/>
      <c r="C15" s="137"/>
      <c r="D15" s="133"/>
      <c r="E15" s="547" t="str">
        <f t="shared" si="0"/>
        <v> </v>
      </c>
      <c r="F15" s="134"/>
    </row>
    <row r="16" spans="1:6" ht="23.25" customHeight="1">
      <c r="A16" s="236"/>
      <c r="B16" s="366"/>
      <c r="C16" s="137"/>
      <c r="D16" s="133"/>
      <c r="E16" s="547" t="str">
        <f t="shared" si="0"/>
        <v> </v>
      </c>
      <c r="F16" s="134"/>
    </row>
    <row r="17" spans="1:6" ht="23.25" customHeight="1">
      <c r="A17" s="236"/>
      <c r="B17" s="366"/>
      <c r="C17" s="137"/>
      <c r="D17" s="133"/>
      <c r="E17" s="547" t="str">
        <f t="shared" si="0"/>
        <v> </v>
      </c>
      <c r="F17" s="134"/>
    </row>
    <row r="18" spans="1:6" ht="23.25" customHeight="1">
      <c r="A18" s="236"/>
      <c r="B18" s="366"/>
      <c r="C18" s="137"/>
      <c r="D18" s="133"/>
      <c r="E18" s="547" t="str">
        <f t="shared" si="0"/>
        <v> </v>
      </c>
      <c r="F18" s="134"/>
    </row>
    <row r="19" spans="1:6" ht="23.25" customHeight="1" thickBot="1">
      <c r="A19" s="236"/>
      <c r="B19" s="366"/>
      <c r="C19" s="137"/>
      <c r="D19" s="133"/>
      <c r="E19" s="547" t="str">
        <f t="shared" si="0"/>
        <v> </v>
      </c>
      <c r="F19" s="134"/>
    </row>
    <row r="20" spans="1:6" ht="18.75" customHeight="1" thickBot="1">
      <c r="A20" s="766" t="s">
        <v>108</v>
      </c>
      <c r="B20" s="767"/>
      <c r="C20" s="86">
        <f>SUM(C6:C19)</f>
        <v>0</v>
      </c>
      <c r="D20" s="97">
        <f>SUM(D6:D19)</f>
        <v>0</v>
      </c>
      <c r="E20" s="549" t="str">
        <f t="shared" si="0"/>
        <v> </v>
      </c>
      <c r="F20" s="88"/>
    </row>
    <row r="21" spans="1:5" ht="13.5" customHeight="1">
      <c r="A21" s="73"/>
      <c r="B21" s="73"/>
      <c r="C21" s="89"/>
      <c r="D21" s="89"/>
      <c r="E21" s="89"/>
    </row>
    <row r="22" spans="1:5" ht="13.5" customHeight="1">
      <c r="A22" s="73"/>
      <c r="B22" s="73"/>
      <c r="C22" s="89"/>
      <c r="D22" s="89"/>
      <c r="E22" s="89"/>
    </row>
    <row r="23" spans="1:5" ht="13.5" customHeight="1">
      <c r="A23" s="73"/>
      <c r="B23" s="73"/>
      <c r="C23" s="89"/>
      <c r="D23" s="89"/>
      <c r="E23" s="89"/>
    </row>
    <row r="24" spans="1:5" ht="12.75">
      <c r="A24" s="73"/>
      <c r="B24" s="73"/>
      <c r="C24" s="89"/>
      <c r="D24" s="89"/>
      <c r="E24" s="89"/>
    </row>
    <row r="25" spans="1:5" ht="12.75">
      <c r="A25" s="73"/>
      <c r="B25" s="73"/>
      <c r="C25" s="89"/>
      <c r="D25" s="89"/>
      <c r="E25" s="89"/>
    </row>
    <row r="26" spans="1:5" ht="12.75">
      <c r="A26" s="73"/>
      <c r="B26" s="73"/>
      <c r="C26" s="89"/>
      <c r="D26" s="89"/>
      <c r="E26" s="89"/>
    </row>
    <row r="27" spans="1:5" ht="12.75">
      <c r="A27" s="73"/>
      <c r="B27" s="73"/>
      <c r="C27" s="89"/>
      <c r="D27" s="89"/>
      <c r="E27" s="89"/>
    </row>
    <row r="28" spans="1:5" ht="12.75">
      <c r="A28" s="73"/>
      <c r="B28" s="73"/>
      <c r="C28" s="89"/>
      <c r="D28" s="89"/>
      <c r="E28" s="89"/>
    </row>
    <row r="29" spans="1:5" ht="12.75">
      <c r="A29" s="73"/>
      <c r="B29" s="73"/>
      <c r="C29" s="89"/>
      <c r="D29" s="89"/>
      <c r="E29" s="89"/>
    </row>
    <row r="30" spans="1:5" ht="12.75">
      <c r="A30" s="73"/>
      <c r="B30" s="73"/>
      <c r="C30" s="89"/>
      <c r="D30" s="89"/>
      <c r="E30" s="89"/>
    </row>
    <row r="31" spans="1:5" ht="12.75">
      <c r="A31" s="73"/>
      <c r="B31" s="73"/>
      <c r="C31" s="89"/>
      <c r="D31" s="89"/>
      <c r="E31" s="89"/>
    </row>
    <row r="32" spans="1:5" ht="12.75">
      <c r="A32" s="73"/>
      <c r="B32" s="73"/>
      <c r="C32" s="89"/>
      <c r="D32" s="89"/>
      <c r="E32" s="89"/>
    </row>
    <row r="33" spans="1:5" ht="12.75">
      <c r="A33" s="73"/>
      <c r="B33" s="73"/>
      <c r="C33" s="89"/>
      <c r="D33" s="89"/>
      <c r="E33" s="89"/>
    </row>
    <row r="34" spans="1:5" ht="12.75">
      <c r="A34" s="73"/>
      <c r="B34" s="73"/>
      <c r="C34" s="89"/>
      <c r="D34" s="89"/>
      <c r="E34" s="89"/>
    </row>
    <row r="35" spans="1:5" ht="12.75">
      <c r="A35" s="73"/>
      <c r="B35" s="73"/>
      <c r="C35" s="89"/>
      <c r="D35" s="89"/>
      <c r="E35" s="89"/>
    </row>
    <row r="36" spans="1:5" ht="12.75">
      <c r="A36" s="73"/>
      <c r="B36" s="73"/>
      <c r="C36" s="89"/>
      <c r="D36" s="89"/>
      <c r="E36" s="89"/>
    </row>
    <row r="37" spans="1:5" ht="12.75">
      <c r="A37" s="73"/>
      <c r="B37" s="73"/>
      <c r="C37" s="89"/>
      <c r="D37" s="89"/>
      <c r="E37" s="89"/>
    </row>
    <row r="38" spans="1:5" ht="12.75">
      <c r="A38" s="73"/>
      <c r="B38" s="73"/>
      <c r="C38" s="89"/>
      <c r="D38" s="89"/>
      <c r="E38" s="89"/>
    </row>
    <row r="39" spans="1:5" ht="12.75">
      <c r="A39" s="73"/>
      <c r="B39" s="73"/>
      <c r="C39" s="89"/>
      <c r="D39" s="89"/>
      <c r="E39" s="89"/>
    </row>
    <row r="40" spans="1:5" ht="12.75">
      <c r="A40" s="73"/>
      <c r="B40" s="73"/>
      <c r="C40" s="89"/>
      <c r="D40" s="89"/>
      <c r="E40" s="89"/>
    </row>
    <row r="41" spans="1:5" ht="12.75">
      <c r="A41" s="73"/>
      <c r="B41" s="73"/>
      <c r="C41" s="89"/>
      <c r="D41" s="89"/>
      <c r="E41" s="89"/>
    </row>
    <row r="42" spans="1:5" ht="12.75">
      <c r="A42" s="73"/>
      <c r="B42" s="73"/>
      <c r="C42" s="89"/>
      <c r="D42" s="89"/>
      <c r="E42" s="89"/>
    </row>
    <row r="43" spans="1:5" ht="12.75">
      <c r="A43" s="73"/>
      <c r="B43" s="73"/>
      <c r="C43" s="89"/>
      <c r="D43" s="89"/>
      <c r="E43" s="89"/>
    </row>
    <row r="44" spans="1:5" ht="12.75">
      <c r="A44" s="73"/>
      <c r="B44" s="73"/>
      <c r="C44" s="89"/>
      <c r="D44" s="89"/>
      <c r="E44" s="89"/>
    </row>
    <row r="45" spans="1:5" ht="12.75">
      <c r="A45" s="73"/>
      <c r="B45" s="73"/>
      <c r="C45" s="89"/>
      <c r="D45" s="89"/>
      <c r="E45" s="89"/>
    </row>
    <row r="46" spans="1:5" ht="12.75">
      <c r="A46" s="73"/>
      <c r="B46" s="73"/>
      <c r="C46" s="89"/>
      <c r="D46" s="89"/>
      <c r="E46" s="89"/>
    </row>
    <row r="47" spans="1:5" ht="12.75">
      <c r="A47" s="73"/>
      <c r="B47" s="73"/>
      <c r="C47" s="89"/>
      <c r="D47" s="89"/>
      <c r="E47" s="89"/>
    </row>
    <row r="48" spans="1:5" ht="12.75">
      <c r="A48" s="73"/>
      <c r="B48" s="73"/>
      <c r="C48" s="89"/>
      <c r="D48" s="89"/>
      <c r="E48" s="89"/>
    </row>
    <row r="49" spans="1:5" ht="12.75">
      <c r="A49" s="73"/>
      <c r="B49" s="73"/>
      <c r="C49" s="89"/>
      <c r="D49" s="89"/>
      <c r="E49" s="89"/>
    </row>
    <row r="50" spans="1:5" ht="12.75">
      <c r="A50" s="73"/>
      <c r="B50" s="73"/>
      <c r="C50" s="89"/>
      <c r="D50" s="89"/>
      <c r="E50" s="89"/>
    </row>
    <row r="51" spans="1:5" ht="12.75">
      <c r="A51" s="73"/>
      <c r="B51" s="73"/>
      <c r="C51" s="89"/>
      <c r="D51" s="89"/>
      <c r="E51" s="89"/>
    </row>
    <row r="52" spans="1:5" ht="12.75">
      <c r="A52" s="73"/>
      <c r="B52" s="73"/>
      <c r="C52" s="89"/>
      <c r="D52" s="89"/>
      <c r="E52" s="89"/>
    </row>
    <row r="53" spans="1:5" ht="12.75">
      <c r="A53" s="73"/>
      <c r="B53" s="73"/>
      <c r="C53" s="89"/>
      <c r="D53" s="89"/>
      <c r="E53" s="89"/>
    </row>
    <row r="54" spans="1:5" ht="12.75">
      <c r="A54" s="73"/>
      <c r="B54" s="73"/>
      <c r="C54" s="89"/>
      <c r="D54" s="89"/>
      <c r="E54" s="89"/>
    </row>
    <row r="55" spans="1:5" ht="12.75">
      <c r="A55" s="73"/>
      <c r="B55" s="73"/>
      <c r="C55" s="89"/>
      <c r="D55" s="89"/>
      <c r="E55" s="89"/>
    </row>
    <row r="56" spans="1:5" ht="12.75">
      <c r="A56" s="73"/>
      <c r="B56" s="73"/>
      <c r="C56" s="89"/>
      <c r="D56" s="89"/>
      <c r="E56" s="89"/>
    </row>
    <row r="57" spans="1:5" ht="12.75">
      <c r="A57" s="73"/>
      <c r="B57" s="73"/>
      <c r="C57" s="89"/>
      <c r="D57" s="89"/>
      <c r="E57" s="89"/>
    </row>
    <row r="58" spans="1:5" ht="12.75">
      <c r="A58" s="73"/>
      <c r="B58" s="73"/>
      <c r="C58" s="89"/>
      <c r="D58" s="89"/>
      <c r="E58" s="89"/>
    </row>
    <row r="59" spans="1:5" ht="12.75">
      <c r="A59" s="73"/>
      <c r="B59" s="73"/>
      <c r="C59" s="89"/>
      <c r="D59" s="89"/>
      <c r="E59" s="89"/>
    </row>
    <row r="60" spans="1:5" ht="12.75">
      <c r="A60" s="73"/>
      <c r="B60" s="73"/>
      <c r="C60" s="89"/>
      <c r="D60" s="89"/>
      <c r="E60" s="89"/>
    </row>
    <row r="61" spans="1:5" ht="12.75">
      <c r="A61" s="73"/>
      <c r="B61" s="73"/>
      <c r="C61" s="89"/>
      <c r="D61" s="89"/>
      <c r="E61" s="89"/>
    </row>
    <row r="62" spans="1:5" ht="12.75">
      <c r="A62" s="73"/>
      <c r="B62" s="73"/>
      <c r="C62" s="89"/>
      <c r="D62" s="89"/>
      <c r="E62" s="89"/>
    </row>
    <row r="63" spans="1:5" ht="12.75">
      <c r="A63" s="73"/>
      <c r="B63" s="73"/>
      <c r="C63" s="89"/>
      <c r="D63" s="89"/>
      <c r="E63" s="89"/>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4">
    <dataValidation type="list" allowBlank="1" showInputMessage="1" showErrorMessage="1" sqref="A6:A19">
      <formula1>rgCats3E</formula1>
    </dataValidation>
    <dataValidation allowBlank="1" showInputMessage="1" showErrorMessage="1" sqref="B6:B19"/>
    <dataValidation type="custom" allowBlank="1" showInputMessage="1" showErrorMessage="1" sqref="E6:E20 C6:C19">
      <formula1>IF(ISNUMBER(FIND(".",E6)),LEN(E6)-FIND(".",E6)&lt;=2,TRUE)</formula1>
    </dataValidation>
    <dataValidation type="custom" allowBlank="1" showInputMessage="1" showErrorMessage="1" prompt="Round Off. No Decimals" sqref="D6:D19">
      <formula1>IF(ISNUMBER(FIND(".",D6)),LEN(D6)-FIND(".",D6)&lt;=2,TRUE)</formula1>
    </dataValidation>
  </dataValidations>
  <printOptions horizontalCentered="1"/>
  <pageMargins left="0" right="0" top="0.36" bottom="0" header="0" footer="0"/>
  <pageSetup horizontalDpi="600" verticalDpi="600" orientation="landscape" scale="90" r:id="rId1"/>
  <headerFooter alignWithMargins="0">
    <oddFooter>&amp;LNSES Budget Template - Approved&amp;C01/2023&amp;R3D</oddFooter>
  </headerFooter>
  <ignoredErrors>
    <ignoredError sqref="E6:E18 E20 E19" unlockedFormula="1"/>
  </ignoredErrors>
</worksheet>
</file>

<file path=xl/worksheets/sheet11.xml><?xml version="1.0" encoding="utf-8"?>
<worksheet xmlns="http://schemas.openxmlformats.org/spreadsheetml/2006/main" xmlns:r="http://schemas.openxmlformats.org/officeDocument/2006/relationships">
  <dimension ref="A1:E54"/>
  <sheetViews>
    <sheetView zoomScalePageLayoutView="0" workbookViewId="0" topLeftCell="A1">
      <selection activeCell="E5" sqref="E5"/>
    </sheetView>
  </sheetViews>
  <sheetFormatPr defaultColWidth="9.140625" defaultRowHeight="12.75"/>
  <cols>
    <col min="1" max="1" width="39.140625" style="119" customWidth="1"/>
    <col min="2" max="2" width="15.421875" style="127" customWidth="1"/>
    <col min="3" max="3" width="19.57421875" style="128" customWidth="1"/>
    <col min="4" max="4" width="19.57421875" style="126" customWidth="1"/>
    <col min="5" max="5" width="59.00390625" style="119" customWidth="1"/>
    <col min="6" max="16384" width="9.140625" style="119" customWidth="1"/>
  </cols>
  <sheetData>
    <row r="1" spans="1:4" s="102" customFormat="1" ht="18.75" customHeight="1">
      <c r="A1" s="99" t="str">
        <f>clWBTitle</f>
        <v>Nonpublic Special Education School Budget for FY 2024</v>
      </c>
      <c r="B1" s="100"/>
      <c r="C1" s="432" t="s">
        <v>713</v>
      </c>
      <c r="D1" s="101" t="s">
        <v>107</v>
      </c>
    </row>
    <row r="2" spans="1:5" s="102" customFormat="1" ht="15" customHeight="1">
      <c r="A2" s="99" t="str">
        <f>"School"&amp;CHAR(151)&amp;clSchoolName</f>
        <v>School—</v>
      </c>
      <c r="B2" s="100"/>
      <c r="C2" s="100"/>
      <c r="D2" s="100"/>
      <c r="E2" s="103"/>
    </row>
    <row r="3" spans="1:5" s="102" customFormat="1" ht="15" customHeight="1">
      <c r="A3" s="99" t="str">
        <f>"Program"&amp;CHAR(151)&amp;clProgramName</f>
        <v>Program—</v>
      </c>
      <c r="B3" s="104"/>
      <c r="C3" s="105"/>
      <c r="D3" s="106"/>
      <c r="E3" s="107"/>
    </row>
    <row r="4" spans="1:3" s="102" customFormat="1" ht="33.75" customHeight="1" thickBot="1">
      <c r="A4" s="108" t="s">
        <v>787</v>
      </c>
      <c r="B4" s="109"/>
      <c r="C4" s="109"/>
    </row>
    <row r="5" spans="1:4" s="114" customFormat="1" ht="13.5" customHeight="1" thickBot="1">
      <c r="A5" s="110" t="s">
        <v>648</v>
      </c>
      <c r="B5" s="111" t="s">
        <v>15</v>
      </c>
      <c r="C5" s="112" t="s">
        <v>101</v>
      </c>
      <c r="D5" s="113"/>
    </row>
    <row r="6" spans="1:4" ht="23.25" customHeight="1">
      <c r="A6" s="115" t="s">
        <v>736</v>
      </c>
      <c r="B6" s="116">
        <f>'Form 3'!C20</f>
        <v>0</v>
      </c>
      <c r="C6" s="117">
        <f>clTotDirSalAdmin</f>
        <v>0</v>
      </c>
      <c r="D6" s="118"/>
    </row>
    <row r="7" spans="1:4" ht="23.25" customHeight="1">
      <c r="A7" s="120" t="s">
        <v>735</v>
      </c>
      <c r="B7" s="116">
        <f>'Form 3A'!C20</f>
        <v>0</v>
      </c>
      <c r="C7" s="117">
        <f>clTotDirSalSchool</f>
        <v>0</v>
      </c>
      <c r="D7" s="118"/>
    </row>
    <row r="8" spans="1:4" ht="23.25" customHeight="1">
      <c r="A8" s="120" t="s">
        <v>97</v>
      </c>
      <c r="B8" s="116">
        <f>'Form 3B'!C20</f>
        <v>0</v>
      </c>
      <c r="C8" s="117">
        <f>clTotDirSalClass</f>
        <v>0</v>
      </c>
      <c r="D8" s="118"/>
    </row>
    <row r="9" spans="1:4" ht="23.25" customHeight="1">
      <c r="A9" s="120" t="s">
        <v>14</v>
      </c>
      <c r="B9" s="116">
        <f>'Form 3C'!C20</f>
        <v>0</v>
      </c>
      <c r="C9" s="117">
        <f>clTotDirSalService</f>
        <v>0</v>
      </c>
      <c r="D9" s="118"/>
    </row>
    <row r="10" spans="1:4" ht="23.25" customHeight="1" thickBot="1">
      <c r="A10" s="120" t="s">
        <v>98</v>
      </c>
      <c r="B10" s="116">
        <f>'Form 3D'!C20</f>
        <v>0</v>
      </c>
      <c r="C10" s="117">
        <f>clTotDirSalSupport</f>
        <v>0</v>
      </c>
      <c r="D10" s="118"/>
    </row>
    <row r="11" spans="1:4" ht="18.75" customHeight="1" thickBot="1">
      <c r="A11" s="121" t="s">
        <v>720</v>
      </c>
      <c r="B11" s="122">
        <f>SUM(B6:B10)</f>
        <v>0</v>
      </c>
      <c r="C11" s="123">
        <f>SUM(C6:C10)</f>
        <v>0</v>
      </c>
      <c r="D11" s="118"/>
    </row>
    <row r="12" spans="1:4" ht="13.5" customHeight="1">
      <c r="A12" s="124"/>
      <c r="B12" s="125"/>
      <c r="C12" s="125"/>
      <c r="D12" s="119"/>
    </row>
    <row r="13" spans="1:3" ht="13.5" customHeight="1">
      <c r="A13" s="124"/>
      <c r="B13" s="125"/>
      <c r="C13" s="125"/>
    </row>
    <row r="14" spans="1:3" ht="13.5" customHeight="1">
      <c r="A14" s="124"/>
      <c r="B14" s="125"/>
      <c r="C14" s="125"/>
    </row>
    <row r="15" spans="1:3" ht="12.75">
      <c r="A15" s="124"/>
      <c r="B15" s="125"/>
      <c r="C15" s="125"/>
    </row>
    <row r="16" spans="1:3" ht="12.75">
      <c r="A16" s="124"/>
      <c r="B16" s="125"/>
      <c r="C16" s="125"/>
    </row>
    <row r="17" spans="1:3" ht="12.75">
      <c r="A17" s="124"/>
      <c r="B17" s="125"/>
      <c r="C17" s="125"/>
    </row>
    <row r="18" spans="1:3" ht="12.75">
      <c r="A18" s="124"/>
      <c r="B18" s="125"/>
      <c r="C18" s="125"/>
    </row>
    <row r="19" spans="1:3" ht="12.75">
      <c r="A19" s="124"/>
      <c r="B19" s="125"/>
      <c r="C19" s="125"/>
    </row>
    <row r="20" spans="1:3" ht="12.75">
      <c r="A20" s="124"/>
      <c r="B20" s="125"/>
      <c r="C20" s="125"/>
    </row>
    <row r="21" spans="1:3" ht="12.75">
      <c r="A21" s="124"/>
      <c r="B21" s="125"/>
      <c r="C21" s="125"/>
    </row>
    <row r="22" spans="1:3" ht="12.75">
      <c r="A22" s="124"/>
      <c r="B22" s="125"/>
      <c r="C22" s="125"/>
    </row>
    <row r="23" spans="1:3" ht="12.75">
      <c r="A23" s="124"/>
      <c r="B23" s="125"/>
      <c r="C23" s="125"/>
    </row>
    <row r="24" spans="1:3" ht="12.75">
      <c r="A24" s="124"/>
      <c r="B24" s="125"/>
      <c r="C24" s="125"/>
    </row>
    <row r="25" spans="1:3" ht="12.75">
      <c r="A25" s="124"/>
      <c r="B25" s="125"/>
      <c r="C25" s="125"/>
    </row>
    <row r="26" spans="1:3" ht="12.75">
      <c r="A26" s="124"/>
      <c r="B26" s="125"/>
      <c r="C26" s="125"/>
    </row>
    <row r="27" spans="1:3" ht="12.75">
      <c r="A27" s="124"/>
      <c r="B27" s="125"/>
      <c r="C27" s="125"/>
    </row>
    <row r="28" spans="1:3" ht="12.75">
      <c r="A28" s="124"/>
      <c r="B28" s="125"/>
      <c r="C28" s="125"/>
    </row>
    <row r="29" spans="1:3" ht="12.75">
      <c r="A29" s="124"/>
      <c r="B29" s="125"/>
      <c r="C29" s="125"/>
    </row>
    <row r="30" spans="1:3" ht="12.75">
      <c r="A30" s="124"/>
      <c r="B30" s="125"/>
      <c r="C30" s="125"/>
    </row>
    <row r="31" spans="1:3" ht="12.75">
      <c r="A31" s="124"/>
      <c r="B31" s="125"/>
      <c r="C31" s="125"/>
    </row>
    <row r="32" spans="1:3" ht="12.75">
      <c r="A32" s="124"/>
      <c r="B32" s="125"/>
      <c r="C32" s="125"/>
    </row>
    <row r="33" spans="1:3" ht="12.75">
      <c r="A33" s="124"/>
      <c r="B33" s="125"/>
      <c r="C33" s="125"/>
    </row>
    <row r="34" spans="1:3" ht="12.75">
      <c r="A34" s="124"/>
      <c r="B34" s="125"/>
      <c r="C34" s="125"/>
    </row>
    <row r="35" spans="1:3" ht="12.75">
      <c r="A35" s="124"/>
      <c r="B35" s="125"/>
      <c r="C35" s="125"/>
    </row>
    <row r="36" spans="1:3" ht="12.75">
      <c r="A36" s="124"/>
      <c r="B36" s="125"/>
      <c r="C36" s="125"/>
    </row>
    <row r="37" spans="1:3" ht="12.75">
      <c r="A37" s="124"/>
      <c r="B37" s="125"/>
      <c r="C37" s="125"/>
    </row>
    <row r="38" spans="1:3" ht="12.75">
      <c r="A38" s="124"/>
      <c r="B38" s="125"/>
      <c r="C38" s="125"/>
    </row>
    <row r="39" spans="1:3" ht="12.75">
      <c r="A39" s="124"/>
      <c r="B39" s="125"/>
      <c r="C39" s="125"/>
    </row>
    <row r="40" spans="1:3" ht="12.75">
      <c r="A40" s="124"/>
      <c r="B40" s="125"/>
      <c r="C40" s="125"/>
    </row>
    <row r="41" spans="1:3" ht="12.75">
      <c r="A41" s="124"/>
      <c r="B41" s="125"/>
      <c r="C41" s="125"/>
    </row>
    <row r="42" spans="1:3" ht="12.75">
      <c r="A42" s="124"/>
      <c r="B42" s="125"/>
      <c r="C42" s="125"/>
    </row>
    <row r="43" spans="1:3" ht="12.75">
      <c r="A43" s="124"/>
      <c r="B43" s="125"/>
      <c r="C43" s="125"/>
    </row>
    <row r="44" spans="1:3" ht="12.75">
      <c r="A44" s="124"/>
      <c r="B44" s="125"/>
      <c r="C44" s="125"/>
    </row>
    <row r="45" spans="1:3" ht="12.75">
      <c r="A45" s="124"/>
      <c r="B45" s="125"/>
      <c r="C45" s="125"/>
    </row>
    <row r="46" spans="1:3" ht="12.75">
      <c r="A46" s="124"/>
      <c r="B46" s="125"/>
      <c r="C46" s="125"/>
    </row>
    <row r="47" spans="1:3" ht="12.75">
      <c r="A47" s="124"/>
      <c r="B47" s="125"/>
      <c r="C47" s="125"/>
    </row>
    <row r="48" spans="1:3" ht="12.75">
      <c r="A48" s="124"/>
      <c r="B48" s="125"/>
      <c r="C48" s="125"/>
    </row>
    <row r="49" spans="1:3" ht="12.75">
      <c r="A49" s="124"/>
      <c r="B49" s="125"/>
      <c r="C49" s="125"/>
    </row>
    <row r="50" spans="1:3" ht="12.75">
      <c r="A50" s="124"/>
      <c r="B50" s="125"/>
      <c r="C50" s="125"/>
    </row>
    <row r="51" spans="1:3" ht="12.75">
      <c r="A51" s="124"/>
      <c r="B51" s="125"/>
      <c r="C51" s="125"/>
    </row>
    <row r="52" spans="1:3" ht="12.75">
      <c r="A52" s="124"/>
      <c r="B52" s="125"/>
      <c r="C52" s="125"/>
    </row>
    <row r="53" spans="1:3" ht="12.75">
      <c r="A53" s="124"/>
      <c r="B53" s="125"/>
      <c r="C53" s="125"/>
    </row>
    <row r="54" spans="1:3" ht="12.75">
      <c r="A54" s="124"/>
      <c r="B54" s="125"/>
      <c r="C54" s="125"/>
    </row>
  </sheetData>
  <sheetProtection password="860F" sheet="1" selectLockedCells="1"/>
  <printOptions horizontalCentered="1"/>
  <pageMargins left="0" right="0" top="0.36" bottom="0" header="0" footer="0"/>
  <pageSetup horizontalDpi="600" verticalDpi="600" orientation="landscape" scale="99" r:id="rId1"/>
  <headerFooter alignWithMargins="0">
    <oddFooter>&amp;LNSES Budget Template - Approved&amp;C01/2023&amp;R3E</oddFooter>
  </headerFooter>
</worksheet>
</file>

<file path=xl/worksheets/sheet12.xml><?xml version="1.0" encoding="utf-8"?>
<worksheet xmlns="http://schemas.openxmlformats.org/spreadsheetml/2006/main" xmlns:r="http://schemas.openxmlformats.org/officeDocument/2006/relationships">
  <dimension ref="A1:F63"/>
  <sheetViews>
    <sheetView zoomScalePageLayoutView="0" workbookViewId="0" topLeftCell="A1">
      <selection activeCell="B16" sqref="B16"/>
    </sheetView>
  </sheetViews>
  <sheetFormatPr defaultColWidth="9.140625" defaultRowHeight="12.75"/>
  <cols>
    <col min="1" max="1" width="16.140625" style="18" customWidth="1"/>
    <col min="2" max="2" width="41.57421875" style="18" customWidth="1"/>
    <col min="3" max="3" width="8.140625" style="98" customWidth="1"/>
    <col min="4" max="4" width="14.7109375" style="90" customWidth="1"/>
    <col min="5" max="5" width="15.8515625" style="90" customWidth="1"/>
    <col min="6" max="6" width="50.00390625" style="18" customWidth="1"/>
    <col min="7" max="7" width="9.00390625" style="18" customWidth="1"/>
    <col min="8" max="8" width="9.140625" style="18" hidden="1" customWidth="1"/>
    <col min="9" max="16384" width="9.140625" style="18" customWidth="1"/>
  </cols>
  <sheetData>
    <row r="1" spans="1:6" s="23" customFormat="1" ht="18.75" customHeight="1">
      <c r="A1" s="19" t="str">
        <f>clWBTitle</f>
        <v>Nonpublic Special Education School Budget for FY 2024</v>
      </c>
      <c r="B1" s="19"/>
      <c r="C1" s="74"/>
      <c r="D1" s="431" t="s">
        <v>713</v>
      </c>
      <c r="E1" s="431"/>
      <c r="F1" s="75" t="s">
        <v>109</v>
      </c>
    </row>
    <row r="2" spans="1:6" s="23" customFormat="1" ht="15" customHeight="1">
      <c r="A2" s="19" t="str">
        <f>"School"&amp;CHAR(151)&amp;clSchoolName</f>
        <v>School—</v>
      </c>
      <c r="B2" s="19"/>
      <c r="C2" s="74"/>
      <c r="D2" s="74"/>
      <c r="E2" s="74"/>
      <c r="F2" s="76"/>
    </row>
    <row r="3" spans="1:6" s="23" customFormat="1" ht="15" customHeight="1">
      <c r="A3" s="19" t="str">
        <f>"Program"&amp;CHAR(151)&amp;clProgramName</f>
        <v>Program—</v>
      </c>
      <c r="B3" s="19"/>
      <c r="C3" s="77"/>
      <c r="D3" s="79"/>
      <c r="E3" s="79"/>
      <c r="F3" s="80"/>
    </row>
    <row r="4" spans="1:5" s="23" customFormat="1" ht="33.75" customHeight="1" thickBot="1">
      <c r="A4" s="26" t="s">
        <v>685</v>
      </c>
      <c r="B4" s="26"/>
      <c r="C4" s="81"/>
      <c r="D4" s="81"/>
      <c r="E4" s="81"/>
    </row>
    <row r="5" spans="1:6" s="85" customFormat="1" ht="13.5" customHeight="1" thickBot="1">
      <c r="A5" s="386" t="s">
        <v>647</v>
      </c>
      <c r="B5" s="83" t="s">
        <v>646</v>
      </c>
      <c r="C5" s="82" t="s">
        <v>15</v>
      </c>
      <c r="D5" s="83" t="s">
        <v>0</v>
      </c>
      <c r="E5" s="448" t="s">
        <v>763</v>
      </c>
      <c r="F5" s="84" t="s">
        <v>18</v>
      </c>
    </row>
    <row r="6" spans="1:6" ht="23.25" customHeight="1">
      <c r="A6" s="235"/>
      <c r="B6" s="365"/>
      <c r="C6" s="137"/>
      <c r="D6" s="131">
        <v>0</v>
      </c>
      <c r="E6" s="546" t="str">
        <f>IF(D6=0," ",D6/C6)</f>
        <v> </v>
      </c>
      <c r="F6" s="132"/>
    </row>
    <row r="7" spans="1:6" ht="23.25" customHeight="1">
      <c r="A7" s="236"/>
      <c r="B7" s="366"/>
      <c r="C7" s="137"/>
      <c r="D7" s="133"/>
      <c r="E7" s="547" t="str">
        <f aca="true" t="shared" si="0" ref="E7:E20">IF(D7=0," ",D7/C7)</f>
        <v> </v>
      </c>
      <c r="F7" s="134"/>
    </row>
    <row r="8" spans="1:6" ht="23.25" customHeight="1">
      <c r="A8" s="236"/>
      <c r="B8" s="366"/>
      <c r="C8" s="137"/>
      <c r="D8" s="133"/>
      <c r="E8" s="547" t="str">
        <f t="shared" si="0"/>
        <v> </v>
      </c>
      <c r="F8" s="134"/>
    </row>
    <row r="9" spans="1:6" ht="23.25" customHeight="1">
      <c r="A9" s="236"/>
      <c r="B9" s="366"/>
      <c r="C9" s="137"/>
      <c r="D9" s="133"/>
      <c r="E9" s="547" t="str">
        <f t="shared" si="0"/>
        <v> </v>
      </c>
      <c r="F9" s="134"/>
    </row>
    <row r="10" spans="1:6" ht="23.25" customHeight="1">
      <c r="A10" s="236"/>
      <c r="B10" s="366"/>
      <c r="C10" s="137"/>
      <c r="D10" s="133"/>
      <c r="E10" s="547" t="str">
        <f t="shared" si="0"/>
        <v> </v>
      </c>
      <c r="F10" s="134"/>
    </row>
    <row r="11" spans="1:6" ht="23.25" customHeight="1">
      <c r="A11" s="236"/>
      <c r="B11" s="366"/>
      <c r="C11" s="137"/>
      <c r="D11" s="133"/>
      <c r="E11" s="547" t="str">
        <f t="shared" si="0"/>
        <v> </v>
      </c>
      <c r="F11" s="134"/>
    </row>
    <row r="12" spans="1:6" ht="23.25" customHeight="1">
      <c r="A12" s="236"/>
      <c r="B12" s="366"/>
      <c r="C12" s="137"/>
      <c r="D12" s="133"/>
      <c r="E12" s="547" t="str">
        <f t="shared" si="0"/>
        <v> </v>
      </c>
      <c r="F12" s="134"/>
    </row>
    <row r="13" spans="1:6" ht="23.25" customHeight="1">
      <c r="A13" s="236"/>
      <c r="B13" s="366"/>
      <c r="C13" s="137"/>
      <c r="D13" s="133"/>
      <c r="E13" s="547" t="str">
        <f t="shared" si="0"/>
        <v> </v>
      </c>
      <c r="F13" s="134"/>
    </row>
    <row r="14" spans="1:6" ht="23.25" customHeight="1">
      <c r="A14" s="236"/>
      <c r="B14" s="366"/>
      <c r="C14" s="137"/>
      <c r="D14" s="133"/>
      <c r="E14" s="547" t="str">
        <f t="shared" si="0"/>
        <v> </v>
      </c>
      <c r="F14" s="134"/>
    </row>
    <row r="15" spans="1:6" ht="23.25" customHeight="1">
      <c r="A15" s="236"/>
      <c r="B15" s="366"/>
      <c r="C15" s="137"/>
      <c r="D15" s="133"/>
      <c r="E15" s="547" t="str">
        <f t="shared" si="0"/>
        <v> </v>
      </c>
      <c r="F15" s="134"/>
    </row>
    <row r="16" spans="1:6" ht="23.25" customHeight="1">
      <c r="A16" s="236"/>
      <c r="B16" s="366"/>
      <c r="C16" s="137"/>
      <c r="D16" s="133"/>
      <c r="E16" s="547" t="str">
        <f t="shared" si="0"/>
        <v> </v>
      </c>
      <c r="F16" s="134"/>
    </row>
    <row r="17" spans="1:6" ht="23.25" customHeight="1">
      <c r="A17" s="236"/>
      <c r="B17" s="366"/>
      <c r="C17" s="137"/>
      <c r="D17" s="133"/>
      <c r="E17" s="547" t="str">
        <f t="shared" si="0"/>
        <v> </v>
      </c>
      <c r="F17" s="134"/>
    </row>
    <row r="18" spans="1:6" ht="23.25" customHeight="1">
      <c r="A18" s="236"/>
      <c r="B18" s="366"/>
      <c r="C18" s="137"/>
      <c r="D18" s="133"/>
      <c r="E18" s="547" t="str">
        <f t="shared" si="0"/>
        <v> </v>
      </c>
      <c r="F18" s="134"/>
    </row>
    <row r="19" spans="1:6" ht="23.25" customHeight="1" thickBot="1">
      <c r="A19" s="236"/>
      <c r="B19" s="366"/>
      <c r="C19" s="137"/>
      <c r="D19" s="133"/>
      <c r="E19" s="547" t="str">
        <f t="shared" si="0"/>
        <v> </v>
      </c>
      <c r="F19" s="134"/>
    </row>
    <row r="20" spans="1:6" ht="18.75" customHeight="1" thickBot="1">
      <c r="A20" s="766" t="s">
        <v>737</v>
      </c>
      <c r="B20" s="767"/>
      <c r="C20" s="86">
        <f>SUM(C6:C19)</f>
        <v>0</v>
      </c>
      <c r="D20" s="97">
        <f>SUM(D6:D19)</f>
        <v>0</v>
      </c>
      <c r="E20" s="549" t="str">
        <f t="shared" si="0"/>
        <v> </v>
      </c>
      <c r="F20" s="88"/>
    </row>
    <row r="21" spans="1:3" ht="13.5" customHeight="1">
      <c r="A21" s="73"/>
      <c r="B21" s="73"/>
      <c r="C21" s="89"/>
    </row>
    <row r="22" spans="1:3" ht="13.5" customHeight="1">
      <c r="A22" s="73"/>
      <c r="B22" s="73"/>
      <c r="C22" s="89"/>
    </row>
    <row r="23" spans="1:3" ht="13.5" customHeight="1">
      <c r="A23" s="73"/>
      <c r="B23" s="73"/>
      <c r="C23" s="89"/>
    </row>
    <row r="24" spans="1:3" ht="12.75">
      <c r="A24" s="73"/>
      <c r="B24" s="73"/>
      <c r="C24" s="89"/>
    </row>
    <row r="25" spans="1:3" ht="12.75">
      <c r="A25" s="73"/>
      <c r="B25" s="73"/>
      <c r="C25" s="89"/>
    </row>
    <row r="26" spans="1:3" ht="12.75">
      <c r="A26" s="73"/>
      <c r="B26" s="73"/>
      <c r="C26" s="89"/>
    </row>
    <row r="27" spans="1:3" ht="12.75">
      <c r="A27" s="73"/>
      <c r="B27" s="73"/>
      <c r="C27" s="89"/>
    </row>
    <row r="28" spans="1:3" ht="12.75">
      <c r="A28" s="73"/>
      <c r="B28" s="73"/>
      <c r="C28" s="89"/>
    </row>
    <row r="29" spans="1:3" ht="12.75">
      <c r="A29" s="73"/>
      <c r="B29" s="73"/>
      <c r="C29" s="89"/>
    </row>
    <row r="30" spans="1:3" ht="12.75">
      <c r="A30" s="73"/>
      <c r="B30" s="73"/>
      <c r="C30" s="89"/>
    </row>
    <row r="31" spans="1:3" ht="12.75">
      <c r="A31" s="73"/>
      <c r="B31" s="73"/>
      <c r="C31" s="89"/>
    </row>
    <row r="32" spans="1:3" ht="12.75">
      <c r="A32" s="73"/>
      <c r="B32" s="73"/>
      <c r="C32" s="89"/>
    </row>
    <row r="33" spans="1:3" ht="12.75">
      <c r="A33" s="73"/>
      <c r="B33" s="73"/>
      <c r="C33" s="89"/>
    </row>
    <row r="34" spans="1:3" ht="12.75">
      <c r="A34" s="73"/>
      <c r="B34" s="73"/>
      <c r="C34" s="89"/>
    </row>
    <row r="35" spans="1:3" ht="12.75">
      <c r="A35" s="73"/>
      <c r="B35" s="73"/>
      <c r="C35" s="89"/>
    </row>
    <row r="36" spans="1:3" ht="12.75">
      <c r="A36" s="73"/>
      <c r="B36" s="73"/>
      <c r="C36" s="89"/>
    </row>
    <row r="37" spans="1:3" ht="12.75">
      <c r="A37" s="73"/>
      <c r="B37" s="73"/>
      <c r="C37" s="89"/>
    </row>
    <row r="38" spans="1:3" ht="12.75">
      <c r="A38" s="73"/>
      <c r="B38" s="73"/>
      <c r="C38" s="89"/>
    </row>
    <row r="39" spans="1:3" ht="12.75">
      <c r="A39" s="73"/>
      <c r="B39" s="73"/>
      <c r="C39" s="89"/>
    </row>
    <row r="40" spans="1:3" ht="12.75">
      <c r="A40" s="73"/>
      <c r="B40" s="73"/>
      <c r="C40" s="89"/>
    </row>
    <row r="41" spans="1:3" ht="12.75">
      <c r="A41" s="73"/>
      <c r="B41" s="73"/>
      <c r="C41" s="89"/>
    </row>
    <row r="42" spans="1:3" ht="12.75">
      <c r="A42" s="73"/>
      <c r="B42" s="73"/>
      <c r="C42" s="89"/>
    </row>
    <row r="43" spans="1:3" ht="12.75">
      <c r="A43" s="73"/>
      <c r="B43" s="73"/>
      <c r="C43" s="89"/>
    </row>
    <row r="44" spans="1:3" ht="12.75">
      <c r="A44" s="73"/>
      <c r="B44" s="73"/>
      <c r="C44" s="89"/>
    </row>
    <row r="45" spans="1:3" ht="12.75">
      <c r="A45" s="73"/>
      <c r="B45" s="73"/>
      <c r="C45" s="89"/>
    </row>
    <row r="46" spans="1:3" ht="12.75">
      <c r="A46" s="73"/>
      <c r="B46" s="73"/>
      <c r="C46" s="89"/>
    </row>
    <row r="47" spans="1:3" ht="12.75">
      <c r="A47" s="73"/>
      <c r="B47" s="73"/>
      <c r="C47" s="89"/>
    </row>
    <row r="48" spans="1:3" ht="12.75">
      <c r="A48" s="73"/>
      <c r="B48" s="73"/>
      <c r="C48" s="89"/>
    </row>
    <row r="49" spans="1:3" ht="12.75">
      <c r="A49" s="73"/>
      <c r="B49" s="73"/>
      <c r="C49" s="89"/>
    </row>
    <row r="50" spans="1:3" ht="12.75">
      <c r="A50" s="73"/>
      <c r="B50" s="73"/>
      <c r="C50" s="89"/>
    </row>
    <row r="51" spans="1:3" ht="12.75">
      <c r="A51" s="73"/>
      <c r="B51" s="73"/>
      <c r="C51" s="89"/>
    </row>
    <row r="52" spans="1:3" ht="12.75">
      <c r="A52" s="73"/>
      <c r="B52" s="73"/>
      <c r="C52" s="89"/>
    </row>
    <row r="53" spans="1:3" ht="12.75">
      <c r="A53" s="73"/>
      <c r="B53" s="73"/>
      <c r="C53" s="89"/>
    </row>
    <row r="54" spans="1:3" ht="12.75">
      <c r="A54" s="73"/>
      <c r="B54" s="73"/>
      <c r="C54" s="89"/>
    </row>
    <row r="55" spans="1:3" ht="12.75">
      <c r="A55" s="73"/>
      <c r="B55" s="73"/>
      <c r="C55" s="89"/>
    </row>
    <row r="56" spans="1:3" ht="12.75">
      <c r="A56" s="73"/>
      <c r="B56" s="73"/>
      <c r="C56" s="89"/>
    </row>
    <row r="57" spans="1:3" ht="12.75">
      <c r="A57" s="73"/>
      <c r="B57" s="73"/>
      <c r="C57" s="89"/>
    </row>
    <row r="58" spans="1:3" ht="12.75">
      <c r="A58" s="73"/>
      <c r="B58" s="73"/>
      <c r="C58" s="89"/>
    </row>
    <row r="59" spans="1:3" ht="12.75">
      <c r="A59" s="73"/>
      <c r="B59" s="73"/>
      <c r="C59" s="89"/>
    </row>
    <row r="60" spans="1:3" ht="12.75">
      <c r="A60" s="73"/>
      <c r="B60" s="73"/>
      <c r="C60" s="89"/>
    </row>
    <row r="61" spans="1:3" ht="12.75">
      <c r="A61" s="73"/>
      <c r="B61" s="73"/>
      <c r="C61" s="89"/>
    </row>
    <row r="62" spans="1:3" ht="12.75">
      <c r="A62" s="73"/>
      <c r="B62" s="73"/>
      <c r="C62" s="89"/>
    </row>
    <row r="63" spans="1:3" ht="12.75">
      <c r="A63" s="73"/>
      <c r="B63" s="73"/>
      <c r="C63" s="89"/>
    </row>
  </sheetData>
  <sheetProtection password="8CC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rgCats3H</formula1>
    </dataValidation>
    <dataValidation allowBlank="1" showInputMessage="1" showErrorMessage="1" sqref="B6:B19"/>
    <dataValidation type="custom" allowBlank="1" showInputMessage="1" showErrorMessage="1" sqref="E20 C6:E19">
      <formula1>IF(ISNUMBER(FIND(".",E20)),LEN(E20)-FIND(".",E20)&lt;=2,TRUE)</formula1>
    </dataValidation>
  </dataValidations>
  <printOptions horizontalCentered="1"/>
  <pageMargins left="0" right="0" top="0.36" bottom="0" header="0" footer="0"/>
  <pageSetup horizontalDpi="600" verticalDpi="600" orientation="landscape" scale="90" r:id="rId1"/>
  <headerFooter alignWithMargins="0">
    <oddFooter>&amp;LNSES Budget Template - Approved&amp;C01/2023&amp;R3F</oddFooter>
  </headerFooter>
</worksheet>
</file>

<file path=xl/worksheets/sheet13.xml><?xml version="1.0" encoding="utf-8"?>
<worksheet xmlns="http://schemas.openxmlformats.org/spreadsheetml/2006/main" xmlns:r="http://schemas.openxmlformats.org/officeDocument/2006/relationships">
  <dimension ref="A1:E63"/>
  <sheetViews>
    <sheetView zoomScalePageLayoutView="0" workbookViewId="0" topLeftCell="A1">
      <selection activeCell="B9" sqref="B9"/>
    </sheetView>
  </sheetViews>
  <sheetFormatPr defaultColWidth="9.140625" defaultRowHeight="12.75"/>
  <cols>
    <col min="1" max="1" width="16.14062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110</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465</v>
      </c>
      <c r="B4" s="108"/>
      <c r="C4" s="108"/>
      <c r="D4" s="109"/>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237"/>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68" t="s">
        <v>466</v>
      </c>
      <c r="B20" s="769"/>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B6:B19">
    <cfRule type="expression" priority="1" dxfId="6" stopIfTrue="1">
      <formula>IF(LEFT(A6,4)="Misc",TRUE,FALSE)</formula>
    </cfRule>
  </conditionalFormatting>
  <conditionalFormatting sqref="A6:A19">
    <cfRule type="expression" priority="2" dxfId="6" stopIfTrue="1">
      <formula>IF(LEFT(A6,4)="Misc",TRUE,FALSE)</formula>
    </cfRule>
  </conditionalFormatting>
  <dataValidations count="2">
    <dataValidation type="list" allowBlank="1" showInputMessage="1" showErrorMessage="1" sqref="A6:A19">
      <formula1>rgCats4A</formula1>
    </dataValidation>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Approved&amp;C01/2023&amp;R4A</oddFooter>
  </headerFooter>
</worksheet>
</file>

<file path=xl/worksheets/sheet14.xml><?xml version="1.0" encoding="utf-8"?>
<worksheet xmlns="http://schemas.openxmlformats.org/spreadsheetml/2006/main" xmlns:r="http://schemas.openxmlformats.org/officeDocument/2006/relationships">
  <dimension ref="A1:E63"/>
  <sheetViews>
    <sheetView zoomScalePageLayoutView="0" workbookViewId="0" topLeftCell="A5">
      <selection activeCell="A18" sqref="A18"/>
    </sheetView>
  </sheetViews>
  <sheetFormatPr defaultColWidth="9.140625" defaultRowHeight="12.75"/>
  <cols>
    <col min="1" max="1" width="15.42187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113</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112</v>
      </c>
      <c r="B4" s="108"/>
      <c r="C4" s="108"/>
      <c r="D4" s="109"/>
    </row>
    <row r="5" spans="1:5" s="114" customFormat="1" ht="13.5" customHeight="1" thickBot="1">
      <c r="A5" s="386" t="s">
        <v>111</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114</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2">
    <dataValidation type="list" allowBlank="1" showInputMessage="1" showErrorMessage="1" sqref="A6:A19">
      <formula1>rgCats4B</formula1>
    </dataValidation>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Approved&amp;C01/2023&amp;R4B</oddFooter>
  </headerFooter>
</worksheet>
</file>

<file path=xl/worksheets/sheet15.xml><?xml version="1.0" encoding="utf-8"?>
<worksheet xmlns="http://schemas.openxmlformats.org/spreadsheetml/2006/main" xmlns:r="http://schemas.openxmlformats.org/officeDocument/2006/relationships">
  <dimension ref="A1:E63"/>
  <sheetViews>
    <sheetView zoomScalePageLayoutView="0" workbookViewId="0" topLeftCell="A4">
      <selection activeCell="B14" sqref="B14"/>
    </sheetView>
  </sheetViews>
  <sheetFormatPr defaultColWidth="9.140625" defaultRowHeight="12.75"/>
  <cols>
    <col min="1" max="1" width="16.421875" style="119" customWidth="1"/>
    <col min="2" max="2" width="42.14062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115</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764</v>
      </c>
      <c r="B4" s="108"/>
      <c r="C4" s="108"/>
      <c r="D4" s="109"/>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467</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rgCats4C</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Approved&amp;C01/2023&amp;R4C</oddFooter>
  </headerFooter>
</worksheet>
</file>

<file path=xl/worksheets/sheet16.xml><?xml version="1.0" encoding="utf-8"?>
<worksheet xmlns="http://schemas.openxmlformats.org/spreadsheetml/2006/main" xmlns:r="http://schemas.openxmlformats.org/officeDocument/2006/relationships">
  <dimension ref="A1:E63"/>
  <sheetViews>
    <sheetView zoomScalePageLayoutView="0" workbookViewId="0" topLeftCell="A5">
      <selection activeCell="E16" sqref="E16"/>
    </sheetView>
  </sheetViews>
  <sheetFormatPr defaultColWidth="9.140625" defaultRowHeight="12.75"/>
  <cols>
    <col min="1" max="1" width="16.42187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116</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117</v>
      </c>
      <c r="B4" s="108"/>
      <c r="C4" s="109"/>
      <c r="D4" s="108"/>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118</v>
      </c>
      <c r="B20" s="767"/>
      <c r="C20" s="123">
        <f>SUM(C6:C19)</f>
        <v>0</v>
      </c>
      <c r="D20" s="123">
        <f>SUM(D6:D19)</f>
        <v>0</v>
      </c>
      <c r="E20" s="130"/>
    </row>
    <row r="21" spans="1:3" ht="13.5" customHeight="1">
      <c r="A21" s="124"/>
      <c r="B21" s="124"/>
      <c r="C21" s="125"/>
    </row>
    <row r="22" spans="1:5" ht="13.5" customHeight="1">
      <c r="A22" s="124"/>
      <c r="B22" s="124"/>
      <c r="C22" s="125"/>
      <c r="E22" s="125"/>
    </row>
    <row r="23" spans="1:5" ht="13.5" customHeight="1">
      <c r="A23" s="124"/>
      <c r="B23" s="124"/>
      <c r="C23" s="125"/>
      <c r="E23" s="125"/>
    </row>
    <row r="24" spans="1:5" ht="12.75">
      <c r="A24" s="124"/>
      <c r="B24" s="124"/>
      <c r="C24" s="125"/>
      <c r="E24" s="125"/>
    </row>
    <row r="25" spans="1:5" ht="12.75">
      <c r="A25" s="124"/>
      <c r="B25" s="124"/>
      <c r="C25" s="125"/>
      <c r="E25" s="125"/>
    </row>
    <row r="26" spans="1:5" ht="12.75">
      <c r="A26" s="124"/>
      <c r="B26" s="124"/>
      <c r="C26" s="125"/>
      <c r="E26" s="125"/>
    </row>
    <row r="27" spans="1:5" ht="12.75">
      <c r="A27" s="124"/>
      <c r="B27" s="124"/>
      <c r="C27" s="125"/>
      <c r="E27" s="125"/>
    </row>
    <row r="28" spans="1:5" ht="12.75">
      <c r="A28" s="124"/>
      <c r="B28" s="124"/>
      <c r="C28" s="125"/>
      <c r="E28" s="125"/>
    </row>
    <row r="29" spans="1:5" ht="12.75">
      <c r="A29" s="124"/>
      <c r="B29" s="124"/>
      <c r="C29" s="125"/>
      <c r="E29" s="125"/>
    </row>
    <row r="30" spans="1:5" ht="12.75">
      <c r="A30" s="124"/>
      <c r="B30" s="124"/>
      <c r="C30" s="125"/>
      <c r="E30" s="125"/>
    </row>
    <row r="31" spans="1:5" ht="12.75">
      <c r="A31" s="124"/>
      <c r="B31" s="124"/>
      <c r="C31" s="125"/>
      <c r="E31" s="125"/>
    </row>
    <row r="32" spans="1:5" ht="12.75">
      <c r="A32" s="124"/>
      <c r="B32" s="124"/>
      <c r="C32" s="125"/>
      <c r="E32" s="125"/>
    </row>
    <row r="33" spans="1:5" ht="12.75">
      <c r="A33" s="124"/>
      <c r="B33" s="124"/>
      <c r="C33" s="125"/>
      <c r="E33" s="125"/>
    </row>
    <row r="34" spans="1:5" ht="12.75">
      <c r="A34" s="124"/>
      <c r="B34" s="124"/>
      <c r="C34" s="125"/>
      <c r="E34" s="125"/>
    </row>
    <row r="35" spans="1:5" ht="12.75">
      <c r="A35" s="124"/>
      <c r="B35" s="124"/>
      <c r="C35" s="125"/>
      <c r="E35" s="125"/>
    </row>
    <row r="36" spans="1:5" ht="12.75">
      <c r="A36" s="124"/>
      <c r="B36" s="124"/>
      <c r="C36" s="125"/>
      <c r="E36" s="125"/>
    </row>
    <row r="37" spans="1:5" ht="12.75">
      <c r="A37" s="124"/>
      <c r="B37" s="124"/>
      <c r="C37" s="125"/>
      <c r="E37" s="125"/>
    </row>
    <row r="38" spans="1:5" ht="12.75">
      <c r="A38" s="124"/>
      <c r="B38" s="124"/>
      <c r="C38" s="125"/>
      <c r="E38" s="125"/>
    </row>
    <row r="39" spans="1:5" ht="12.75">
      <c r="A39" s="124"/>
      <c r="B39" s="124"/>
      <c r="C39" s="125"/>
      <c r="E39" s="125"/>
    </row>
    <row r="40" spans="1:5" ht="12.75">
      <c r="A40" s="124"/>
      <c r="B40" s="124"/>
      <c r="C40" s="125"/>
      <c r="E40" s="125"/>
    </row>
    <row r="41" spans="1:5" ht="12.75">
      <c r="A41" s="124"/>
      <c r="B41" s="124"/>
      <c r="C41" s="125"/>
      <c r="E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rgCats4D</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Approved&amp;C01/2023&amp;R4D</oddFooter>
  </headerFooter>
</worksheet>
</file>

<file path=xl/worksheets/sheet17.xml><?xml version="1.0" encoding="utf-8"?>
<worksheet xmlns="http://schemas.openxmlformats.org/spreadsheetml/2006/main" xmlns:r="http://schemas.openxmlformats.org/officeDocument/2006/relationships">
  <dimension ref="A1:E63"/>
  <sheetViews>
    <sheetView zoomScalePageLayoutView="0" workbookViewId="0" topLeftCell="A1">
      <selection activeCell="E19" sqref="E19"/>
    </sheetView>
  </sheetViews>
  <sheetFormatPr defaultColWidth="9.140625" defaultRowHeight="12.75"/>
  <cols>
    <col min="1" max="1" width="16.42187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119</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120</v>
      </c>
      <c r="B4" s="108"/>
      <c r="C4" s="108"/>
      <c r="D4" s="109"/>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238" t="s">
        <v>121</v>
      </c>
      <c r="B20" s="234"/>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rgCats4E</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Approved&amp;C01/2023&amp;R4E</oddFooter>
  </headerFooter>
</worksheet>
</file>

<file path=xl/worksheets/sheet18.xml><?xml version="1.0" encoding="utf-8"?>
<worksheet xmlns="http://schemas.openxmlformats.org/spreadsheetml/2006/main" xmlns:r="http://schemas.openxmlformats.org/officeDocument/2006/relationships">
  <dimension ref="A1:E63"/>
  <sheetViews>
    <sheetView zoomScalePageLayoutView="0" workbookViewId="0" topLeftCell="A5">
      <selection activeCell="E19" sqref="E19"/>
    </sheetView>
  </sheetViews>
  <sheetFormatPr defaultColWidth="9.140625" defaultRowHeight="12.75"/>
  <cols>
    <col min="1" max="1" width="16.5742187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123</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122</v>
      </c>
      <c r="B4" s="108"/>
      <c r="C4" s="108"/>
      <c r="D4" s="109"/>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124</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rgCats4F</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7" bottom="0" header="0" footer="0"/>
  <pageSetup horizontalDpi="600" verticalDpi="600" orientation="landscape" scale="97" r:id="rId1"/>
  <headerFooter alignWithMargins="0">
    <oddFooter>&amp;LNSES Budget Template - Approved&amp;C01/2023&amp;R4F</oddFooter>
  </headerFooter>
</worksheet>
</file>

<file path=xl/worksheets/sheet19.xml><?xml version="1.0" encoding="utf-8"?>
<worksheet xmlns="http://schemas.openxmlformats.org/spreadsheetml/2006/main" xmlns:r="http://schemas.openxmlformats.org/officeDocument/2006/relationships">
  <dimension ref="A1:E63"/>
  <sheetViews>
    <sheetView zoomScalePageLayoutView="0" workbookViewId="0" topLeftCell="A4">
      <selection activeCell="A17" sqref="A17"/>
    </sheetView>
  </sheetViews>
  <sheetFormatPr defaultColWidth="9.140625" defaultRowHeight="12.75"/>
  <cols>
    <col min="1" max="1" width="16.14062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125</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788</v>
      </c>
      <c r="B4" s="108"/>
      <c r="C4" s="108"/>
      <c r="D4" s="109"/>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126</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rgCats4G</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Approved&amp;C01/2023&amp;R4G</oddFooter>
  </headerFooter>
</worksheet>
</file>

<file path=xl/worksheets/sheet2.xml><?xml version="1.0" encoding="utf-8"?>
<worksheet xmlns="http://schemas.openxmlformats.org/spreadsheetml/2006/main" xmlns:r="http://schemas.openxmlformats.org/officeDocument/2006/relationships">
  <dimension ref="A1:Q65411"/>
  <sheetViews>
    <sheetView tabSelected="1" zoomScalePageLayoutView="0" workbookViewId="0" topLeftCell="A1">
      <selection activeCell="A40" sqref="A40:E45"/>
    </sheetView>
  </sheetViews>
  <sheetFormatPr defaultColWidth="9.140625" defaultRowHeight="12.75"/>
  <cols>
    <col min="1" max="1" width="22.140625" style="263" customWidth="1"/>
    <col min="2" max="2" width="16.00390625" style="266" customWidth="1"/>
    <col min="3" max="3" width="14.28125" style="263" customWidth="1"/>
    <col min="4" max="4" width="11.57421875" style="263" customWidth="1"/>
    <col min="5" max="6" width="9.28125" style="263" customWidth="1"/>
    <col min="7" max="7" width="9.421875" style="263" customWidth="1"/>
    <col min="8" max="8" width="8.8515625" style="263" customWidth="1"/>
    <col min="9" max="9" width="5.28125" style="263" customWidth="1"/>
    <col min="10" max="10" width="4.421875" style="263" customWidth="1"/>
    <col min="11" max="11" width="10.140625" style="263" customWidth="1"/>
    <col min="12" max="12" width="9.421875" style="263" customWidth="1"/>
    <col min="13" max="16384" width="9.140625" style="263" customWidth="1"/>
  </cols>
  <sheetData>
    <row r="1" spans="1:16" ht="15.75" customHeight="1">
      <c r="A1" s="399" t="str">
        <f>"Nonpublic Special Education School Budget for FY "&amp;clFiscalYear</f>
        <v>Nonpublic Special Education School Budget for FY 2024</v>
      </c>
      <c r="B1" s="400"/>
      <c r="C1" s="401"/>
      <c r="D1" s="401"/>
      <c r="E1" s="401"/>
      <c r="F1" s="429" t="s">
        <v>713</v>
      </c>
      <c r="G1" s="401"/>
      <c r="H1" s="401"/>
      <c r="I1" s="405"/>
      <c r="J1" s="405"/>
      <c r="K1" s="404" t="s">
        <v>99</v>
      </c>
      <c r="L1" s="407"/>
      <c r="M1" s="405"/>
      <c r="N1" s="405"/>
      <c r="O1" s="405"/>
      <c r="P1" s="405"/>
    </row>
    <row r="2" spans="1:16" s="264" customFormat="1" ht="32.25" customHeight="1" thickBot="1">
      <c r="A2" s="406" t="s">
        <v>6</v>
      </c>
      <c r="B2" s="403"/>
      <c r="C2" s="406"/>
      <c r="D2" s="402"/>
      <c r="E2" s="402"/>
      <c r="F2" s="402"/>
      <c r="G2" s="402"/>
      <c r="H2" s="402"/>
      <c r="I2" s="403"/>
      <c r="J2" s="403"/>
      <c r="K2" s="403"/>
      <c r="L2" s="403"/>
      <c r="M2" s="403"/>
      <c r="N2" s="403"/>
      <c r="O2" s="403"/>
      <c r="P2" s="403"/>
    </row>
    <row r="3" spans="1:16" s="264" customFormat="1" ht="13.5" customHeight="1">
      <c r="A3" s="408" t="s">
        <v>629</v>
      </c>
      <c r="B3" s="633"/>
      <c r="C3" s="634"/>
      <c r="D3" s="634"/>
      <c r="E3" s="634"/>
      <c r="F3" s="635" t="s">
        <v>630</v>
      </c>
      <c r="G3" s="635"/>
      <c r="H3" s="725"/>
      <c r="I3" s="725"/>
      <c r="J3" s="725"/>
      <c r="K3" s="725"/>
      <c r="L3" s="726"/>
      <c r="M3" s="403"/>
      <c r="N3" s="403"/>
      <c r="O3" s="403"/>
      <c r="P3" s="403"/>
    </row>
    <row r="4" spans="1:16" ht="13.5" customHeight="1">
      <c r="A4" s="409" t="s">
        <v>86</v>
      </c>
      <c r="B4" s="723"/>
      <c r="C4" s="723"/>
      <c r="D4" s="723"/>
      <c r="E4" s="723"/>
      <c r="F4" s="723"/>
      <c r="G4" s="723"/>
      <c r="H4" s="541"/>
      <c r="I4" s="541"/>
      <c r="J4" s="541"/>
      <c r="K4" s="541"/>
      <c r="L4" s="542"/>
      <c r="M4" s="405"/>
      <c r="N4" s="405"/>
      <c r="O4" s="405"/>
      <c r="P4" s="405"/>
    </row>
    <row r="5" spans="1:16" ht="13.5" customHeight="1">
      <c r="A5" s="265" t="s">
        <v>174</v>
      </c>
      <c r="B5" s="741"/>
      <c r="C5" s="640"/>
      <c r="D5" s="640"/>
      <c r="E5" s="325" t="s">
        <v>624</v>
      </c>
      <c r="F5" s="641"/>
      <c r="G5" s="641"/>
      <c r="H5" s="325" t="s">
        <v>625</v>
      </c>
      <c r="I5" s="451"/>
      <c r="J5" s="325" t="s">
        <v>626</v>
      </c>
      <c r="K5" s="716"/>
      <c r="L5" s="717"/>
      <c r="M5" s="405"/>
      <c r="N5" s="405"/>
      <c r="O5" s="405"/>
      <c r="P5" s="405"/>
    </row>
    <row r="6" spans="1:16" ht="12.75">
      <c r="A6" s="410" t="s">
        <v>627</v>
      </c>
      <c r="B6" s="642"/>
      <c r="C6" s="643"/>
      <c r="D6" s="643"/>
      <c r="E6" s="644" t="s">
        <v>628</v>
      </c>
      <c r="F6" s="644"/>
      <c r="G6" s="645"/>
      <c r="H6" s="645"/>
      <c r="I6" s="645"/>
      <c r="J6" s="645"/>
      <c r="K6" s="645"/>
      <c r="L6" s="646"/>
      <c r="M6" s="405"/>
      <c r="N6" s="405"/>
      <c r="O6" s="405"/>
      <c r="P6" s="405"/>
    </row>
    <row r="7" spans="1:16" ht="12.75">
      <c r="A7" s="410" t="s">
        <v>705</v>
      </c>
      <c r="B7" s="647"/>
      <c r="C7" s="647"/>
      <c r="D7" s="647"/>
      <c r="E7" s="648" t="s">
        <v>454</v>
      </c>
      <c r="F7" s="648"/>
      <c r="G7" s="647"/>
      <c r="H7" s="647"/>
      <c r="I7" s="647"/>
      <c r="J7" s="647"/>
      <c r="K7" s="647"/>
      <c r="L7" s="649"/>
      <c r="M7" s="405"/>
      <c r="N7" s="405"/>
      <c r="O7" s="405"/>
      <c r="P7" s="405"/>
    </row>
    <row r="8" spans="1:16" ht="14.25">
      <c r="A8" s="410" t="s">
        <v>706</v>
      </c>
      <c r="B8" s="723"/>
      <c r="C8" s="740"/>
      <c r="D8" s="740"/>
      <c r="E8" s="325" t="s">
        <v>7</v>
      </c>
      <c r="F8" s="653"/>
      <c r="G8" s="654"/>
      <c r="H8" s="325" t="s">
        <v>175</v>
      </c>
      <c r="I8" s="655"/>
      <c r="J8" s="656"/>
      <c r="K8" s="656"/>
      <c r="L8" s="657"/>
      <c r="M8" s="275"/>
      <c r="N8" s="405"/>
      <c r="O8" s="405"/>
      <c r="P8" s="405"/>
    </row>
    <row r="9" spans="1:16" ht="12.75">
      <c r="A9" s="265" t="s">
        <v>657</v>
      </c>
      <c r="B9" s="724"/>
      <c r="C9" s="643"/>
      <c r="D9" s="643"/>
      <c r="E9" s="325" t="s">
        <v>7</v>
      </c>
      <c r="F9" s="653"/>
      <c r="G9" s="654"/>
      <c r="H9" s="325" t="s">
        <v>175</v>
      </c>
      <c r="I9" s="655"/>
      <c r="J9" s="656"/>
      <c r="K9" s="656"/>
      <c r="L9" s="657"/>
      <c r="M9" s="405"/>
      <c r="N9" s="405"/>
      <c r="O9" s="405"/>
      <c r="P9" s="405"/>
    </row>
    <row r="10" spans="1:16" ht="12.75">
      <c r="A10" s="265" t="s">
        <v>687</v>
      </c>
      <c r="B10" s="724"/>
      <c r="C10" s="643"/>
      <c r="D10" s="643"/>
      <c r="E10" s="325" t="s">
        <v>7</v>
      </c>
      <c r="F10" s="653"/>
      <c r="G10" s="654"/>
      <c r="H10" s="325" t="s">
        <v>175</v>
      </c>
      <c r="I10" s="656"/>
      <c r="J10" s="656"/>
      <c r="K10" s="656"/>
      <c r="L10" s="657"/>
      <c r="M10" s="405"/>
      <c r="N10" s="405"/>
      <c r="O10" s="405"/>
      <c r="P10" s="405"/>
    </row>
    <row r="11" spans="1:16" ht="12.75">
      <c r="A11" s="265" t="s">
        <v>688</v>
      </c>
      <c r="B11" s="724"/>
      <c r="C11" s="643"/>
      <c r="D11" s="643"/>
      <c r="E11" s="325" t="s">
        <v>7</v>
      </c>
      <c r="F11" s="653"/>
      <c r="G11" s="654"/>
      <c r="H11" s="325" t="s">
        <v>175</v>
      </c>
      <c r="I11" s="656"/>
      <c r="J11" s="656"/>
      <c r="K11" s="656"/>
      <c r="L11" s="657"/>
      <c r="M11" s="405"/>
      <c r="N11" s="405"/>
      <c r="O11" s="405"/>
      <c r="P11" s="405"/>
    </row>
    <row r="12" spans="1:16" ht="12.75">
      <c r="A12" s="265" t="s">
        <v>65</v>
      </c>
      <c r="B12" s="720"/>
      <c r="C12" s="643"/>
      <c r="D12" s="643"/>
      <c r="E12" s="643"/>
      <c r="F12" s="643"/>
      <c r="G12" s="643"/>
      <c r="H12" s="326" t="s">
        <v>73</v>
      </c>
      <c r="I12" s="651"/>
      <c r="J12" s="651"/>
      <c r="K12" s="651"/>
      <c r="L12" s="652"/>
      <c r="M12" s="405"/>
      <c r="N12" s="405"/>
      <c r="O12" s="405"/>
      <c r="P12" s="405"/>
    </row>
    <row r="13" spans="1:16" ht="15">
      <c r="A13" s="411" t="s">
        <v>633</v>
      </c>
      <c r="B13" s="672"/>
      <c r="C13" s="672"/>
      <c r="D13" s="450"/>
      <c r="E13" s="688" t="s">
        <v>767</v>
      </c>
      <c r="F13" s="689"/>
      <c r="G13" s="729"/>
      <c r="H13" s="729"/>
      <c r="I13" s="729"/>
      <c r="J13" s="729"/>
      <c r="K13" s="729"/>
      <c r="L13" s="452"/>
      <c r="M13" s="405"/>
      <c r="N13" s="405"/>
      <c r="O13" s="405"/>
      <c r="P13" s="405"/>
    </row>
    <row r="14" spans="1:16" ht="13.5" customHeight="1" thickBot="1">
      <c r="A14" s="412" t="s">
        <v>631</v>
      </c>
      <c r="B14" s="674"/>
      <c r="C14" s="674"/>
      <c r="D14" s="674"/>
      <c r="E14" s="669"/>
      <c r="F14" s="669"/>
      <c r="G14" s="669"/>
      <c r="H14" s="669"/>
      <c r="I14" s="669"/>
      <c r="J14" s="669"/>
      <c r="K14" s="669"/>
      <c r="L14" s="730"/>
      <c r="M14" s="405"/>
      <c r="N14" s="405"/>
      <c r="O14" s="405"/>
      <c r="P14" s="405"/>
    </row>
    <row r="15" spans="1:16" s="264" customFormat="1" ht="32.25" customHeight="1" thickBot="1">
      <c r="A15" s="406" t="s">
        <v>167</v>
      </c>
      <c r="B15" s="403"/>
      <c r="C15" s="406"/>
      <c r="D15" s="402"/>
      <c r="E15" s="402"/>
      <c r="F15" s="402"/>
      <c r="G15" s="402"/>
      <c r="H15" s="402"/>
      <c r="I15" s="403"/>
      <c r="J15" s="403"/>
      <c r="K15" s="403"/>
      <c r="L15" s="403"/>
      <c r="M15" s="403"/>
      <c r="N15" s="403"/>
      <c r="O15" s="403"/>
      <c r="P15" s="403"/>
    </row>
    <row r="16" spans="1:16" ht="48" thickBot="1">
      <c r="A16" s="415"/>
      <c r="B16" s="416" t="s">
        <v>251</v>
      </c>
      <c r="C16" s="417" t="s">
        <v>252</v>
      </c>
      <c r="D16" s="417" t="s">
        <v>163</v>
      </c>
      <c r="E16" s="417" t="s">
        <v>164</v>
      </c>
      <c r="F16" s="417" t="s">
        <v>165</v>
      </c>
      <c r="G16" s="417" t="s">
        <v>166</v>
      </c>
      <c r="H16" s="417" t="s">
        <v>162</v>
      </c>
      <c r="I16" s="734" t="s">
        <v>418</v>
      </c>
      <c r="J16" s="735"/>
      <c r="K16" s="418" t="s">
        <v>686</v>
      </c>
      <c r="L16" s="419" t="s">
        <v>634</v>
      </c>
      <c r="M16" s="405"/>
      <c r="N16" s="405"/>
      <c r="O16" s="405"/>
      <c r="P16" s="405"/>
    </row>
    <row r="17" spans="1:16" ht="12.75">
      <c r="A17" s="413" t="s">
        <v>9</v>
      </c>
      <c r="B17" s="267">
        <f>clCalFirstDay</f>
      </c>
      <c r="C17" s="574">
        <f>clDayLast</f>
        <v>45473</v>
      </c>
      <c r="D17" s="268">
        <f>IF(clCalDayCount1&lt;&gt;0,clCalDayCount1,"")</f>
      </c>
      <c r="E17" s="268">
        <f>IF(clCalDayCount2&lt;&gt;0,clCalDayCount2,"")</f>
      </c>
      <c r="F17" s="268">
        <f>IF(clCalDayCount3&lt;&gt;0,clCalDayCount3,"")</f>
      </c>
      <c r="G17" s="268">
        <f>IF(clCalDayCount4&lt;&gt;0,clCalDayCount4,"")</f>
      </c>
      <c r="H17" s="268">
        <f>SUM(D17:G17)</f>
        <v>0</v>
      </c>
      <c r="I17" s="742">
        <f>clCalHours</f>
        <v>0</v>
      </c>
      <c r="J17" s="743"/>
      <c r="K17" s="369"/>
      <c r="L17" s="578"/>
      <c r="M17" s="405"/>
      <c r="N17" s="405"/>
      <c r="O17" s="405"/>
      <c r="P17" s="550" t="s">
        <v>25</v>
      </c>
    </row>
    <row r="18" spans="1:16" ht="12.75">
      <c r="A18" s="414" t="s">
        <v>10</v>
      </c>
      <c r="B18" s="269">
        <f>clCa2FirstDay</f>
      </c>
      <c r="C18" s="267">
        <f>clCa2LastDay</f>
      </c>
      <c r="D18" s="268">
        <f>IF(clCa2DayCount1&lt;&gt;0,clCa2DayCount1,"")</f>
      </c>
      <c r="E18" s="268">
        <f>IF(clCa2DayCount2&lt;&gt;0,clCa2DayCount2,"")</f>
      </c>
      <c r="F18" s="268">
        <f>IF(clCa2DayCount3&lt;&gt;0,clCa2DayCount3,"")</f>
      </c>
      <c r="G18" s="268">
        <f>IF(clCa2DayCount4&lt;&gt;0,clCa2DayCount4,"")</f>
      </c>
      <c r="H18" s="268">
        <f>SUM(D18:G18)</f>
        <v>0</v>
      </c>
      <c r="I18" s="721">
        <f>clCa2Hours</f>
        <v>0</v>
      </c>
      <c r="J18" s="722"/>
      <c r="K18" s="370"/>
      <c r="L18" s="579"/>
      <c r="M18" s="405"/>
      <c r="N18" s="405"/>
      <c r="O18" s="405"/>
      <c r="P18" s="405"/>
    </row>
    <row r="19" spans="1:16" ht="12.75">
      <c r="A19" s="718" t="s">
        <v>11</v>
      </c>
      <c r="B19" s="270">
        <f>clCa3FirstDay</f>
      </c>
      <c r="C19" s="271">
        <f>clCa3LastDay</f>
      </c>
      <c r="D19" s="690">
        <f>IF(clCa3DayCount1&lt;&gt;0,clCa3DayCount1,"")</f>
      </c>
      <c r="E19" s="690">
        <f>IF(clCa3DayCount2&lt;&gt;0,clCa3DayCount2,"")</f>
      </c>
      <c r="F19" s="690">
        <f>IF(clCa3DayCount3&lt;&gt;0,clCa3DayCount3,"")</f>
      </c>
      <c r="G19" s="690">
        <f>IF(clCa3DayCount4&lt;&gt;0,clCa3DayCount4,"")</f>
      </c>
      <c r="H19" s="690">
        <f>SUM(D19:G19)</f>
        <v>0</v>
      </c>
      <c r="I19" s="736">
        <f>clCa3Hours</f>
        <v>0</v>
      </c>
      <c r="J19" s="737"/>
      <c r="K19" s="727"/>
      <c r="L19" s="686"/>
      <c r="M19" s="405"/>
      <c r="N19" s="405"/>
      <c r="O19" s="405"/>
      <c r="P19" s="405"/>
    </row>
    <row r="20" spans="1:16" ht="13.5" thickBot="1">
      <c r="A20" s="719"/>
      <c r="B20" s="272">
        <f>clCa3FirstDay2</f>
      </c>
      <c r="C20" s="273">
        <f>clCa3LastDay2</f>
      </c>
      <c r="D20" s="691"/>
      <c r="E20" s="691"/>
      <c r="F20" s="691"/>
      <c r="G20" s="691"/>
      <c r="H20" s="691"/>
      <c r="I20" s="738"/>
      <c r="J20" s="739"/>
      <c r="K20" s="728"/>
      <c r="L20" s="687"/>
      <c r="M20" s="405"/>
      <c r="N20" s="405"/>
      <c r="O20" s="405"/>
      <c r="P20" s="405"/>
    </row>
    <row r="21" spans="1:16" ht="14.25">
      <c r="A21" s="274"/>
      <c r="B21" s="274"/>
      <c r="C21" s="274"/>
      <c r="D21" s="274"/>
      <c r="E21" s="274"/>
      <c r="F21" s="274"/>
      <c r="G21" s="274"/>
      <c r="H21" s="274"/>
      <c r="I21" s="275"/>
      <c r="J21" s="275"/>
      <c r="K21" s="275"/>
      <c r="L21" s="275"/>
      <c r="M21" s="405"/>
      <c r="N21" s="405"/>
      <c r="O21" s="405"/>
      <c r="P21" s="405"/>
    </row>
    <row r="22" spans="1:16" s="264" customFormat="1" ht="22.5" customHeight="1" thickBot="1">
      <c r="A22" s="733" t="s">
        <v>645</v>
      </c>
      <c r="B22" s="733"/>
      <c r="C22" s="733"/>
      <c r="D22" s="733"/>
      <c r="E22" s="733"/>
      <c r="F22" s="733"/>
      <c r="G22" s="733"/>
      <c r="H22" s="733"/>
      <c r="I22" s="733"/>
      <c r="J22" s="733"/>
      <c r="K22" s="733"/>
      <c r="L22" s="733"/>
      <c r="M22" s="403"/>
      <c r="N22" s="403"/>
      <c r="O22" s="403"/>
      <c r="P22" s="403"/>
    </row>
    <row r="23" spans="1:17" s="277" customFormat="1" ht="40.5" customHeight="1">
      <c r="A23" s="708"/>
      <c r="B23" s="709"/>
      <c r="C23" s="709"/>
      <c r="D23" s="709"/>
      <c r="E23" s="709"/>
      <c r="F23" s="709"/>
      <c r="G23" s="709"/>
      <c r="H23" s="709"/>
      <c r="I23" s="709"/>
      <c r="J23" s="709"/>
      <c r="K23" s="709"/>
      <c r="L23" s="710"/>
      <c r="M23" s="405"/>
      <c r="N23" s="405"/>
      <c r="O23" s="405"/>
      <c r="P23" s="405"/>
      <c r="Q23" s="405"/>
    </row>
    <row r="24" spans="1:16" ht="24.75" customHeight="1" thickBot="1">
      <c r="A24" s="711"/>
      <c r="B24" s="712"/>
      <c r="C24" s="712"/>
      <c r="D24" s="712"/>
      <c r="E24" s="712"/>
      <c r="F24" s="712"/>
      <c r="G24" s="712"/>
      <c r="H24" s="712"/>
      <c r="I24" s="712"/>
      <c r="J24" s="712"/>
      <c r="K24" s="712"/>
      <c r="L24" s="713"/>
      <c r="M24" s="405"/>
      <c r="N24" s="405"/>
      <c r="O24" s="405"/>
      <c r="P24" s="405"/>
    </row>
    <row r="25" spans="1:16" s="264" customFormat="1" ht="32.25" customHeight="1" thickBot="1">
      <c r="A25" s="406"/>
      <c r="B25" s="403"/>
      <c r="C25" s="406"/>
      <c r="D25" s="402"/>
      <c r="E25" s="402"/>
      <c r="F25" s="402"/>
      <c r="G25" s="402"/>
      <c r="H25" s="402"/>
      <c r="I25" s="403"/>
      <c r="J25" s="403"/>
      <c r="K25" s="403"/>
      <c r="L25" s="403"/>
      <c r="M25" s="403"/>
      <c r="N25" s="403"/>
      <c r="O25" s="403"/>
      <c r="P25" s="403"/>
    </row>
    <row r="26" spans="1:16" ht="14.25" customHeight="1" thickBot="1">
      <c r="A26" s="421" t="s">
        <v>739</v>
      </c>
      <c r="B26" s="420"/>
      <c r="C26" s="420"/>
      <c r="D26" s="420"/>
      <c r="E26" s="422" t="str">
        <f>IF('Form 1B'!G38&gt;0,"Yes","No")</f>
        <v>No</v>
      </c>
      <c r="F26" s="420"/>
      <c r="G26" s="420"/>
      <c r="H26" s="420"/>
      <c r="I26" s="420"/>
      <c r="J26" s="420"/>
      <c r="K26" s="275"/>
      <c r="L26" s="275"/>
      <c r="M26" s="405"/>
      <c r="N26" s="405"/>
      <c r="O26" s="405"/>
      <c r="P26" s="405"/>
    </row>
    <row r="27" spans="1:16" ht="14.25">
      <c r="A27" s="274"/>
      <c r="B27" s="274"/>
      <c r="C27" s="274"/>
      <c r="D27" s="274"/>
      <c r="E27" s="275"/>
      <c r="F27" s="275"/>
      <c r="G27" s="275"/>
      <c r="H27" s="275"/>
      <c r="I27" s="275"/>
      <c r="J27" s="275"/>
      <c r="K27" s="275"/>
      <c r="L27" s="275"/>
      <c r="M27" s="405"/>
      <c r="N27" s="405"/>
      <c r="O27" s="405"/>
      <c r="P27" s="405"/>
    </row>
    <row r="28" spans="1:16" s="264" customFormat="1" ht="32.25" customHeight="1" thickBot="1">
      <c r="A28" s="406" t="s">
        <v>632</v>
      </c>
      <c r="B28" s="403"/>
      <c r="C28" s="406"/>
      <c r="D28" s="402"/>
      <c r="E28" s="402"/>
      <c r="F28" s="402"/>
      <c r="G28" s="402"/>
      <c r="H28" s="402"/>
      <c r="I28" s="403"/>
      <c r="J28" s="403"/>
      <c r="K28" s="403"/>
      <c r="L28" s="403"/>
      <c r="M28" s="403"/>
      <c r="N28" s="403"/>
      <c r="O28" s="403"/>
      <c r="P28" s="403"/>
    </row>
    <row r="29" spans="1:16" s="264" customFormat="1" ht="14.25" customHeight="1" thickBot="1">
      <c r="A29" s="692" t="s">
        <v>168</v>
      </c>
      <c r="B29" s="693"/>
      <c r="C29" s="423" t="s">
        <v>169</v>
      </c>
      <c r="D29" s="424" t="s">
        <v>637</v>
      </c>
      <c r="E29" s="403"/>
      <c r="F29" s="402"/>
      <c r="G29" s="402"/>
      <c r="H29" s="402"/>
      <c r="I29" s="403"/>
      <c r="J29" s="403"/>
      <c r="K29" s="403"/>
      <c r="L29" s="403"/>
      <c r="M29" s="403"/>
      <c r="N29" s="403"/>
      <c r="O29" s="403"/>
      <c r="P29" s="403"/>
    </row>
    <row r="30" spans="1:16" s="264" customFormat="1" ht="14.25" customHeight="1">
      <c r="A30" s="731"/>
      <c r="B30" s="732"/>
      <c r="C30" s="260"/>
      <c r="D30" s="424" t="s">
        <v>638</v>
      </c>
      <c r="E30" s="403"/>
      <c r="F30" s="402"/>
      <c r="G30" s="402"/>
      <c r="H30" s="402"/>
      <c r="I30" s="403"/>
      <c r="J30" s="403"/>
      <c r="K30" s="403"/>
      <c r="L30" s="403"/>
      <c r="M30" s="403"/>
      <c r="N30" s="403"/>
      <c r="O30" s="403"/>
      <c r="P30" s="403"/>
    </row>
    <row r="31" spans="1:16" s="264" customFormat="1" ht="14.25" customHeight="1">
      <c r="A31" s="684"/>
      <c r="B31" s="685"/>
      <c r="C31" s="261"/>
      <c r="D31" s="424" t="s">
        <v>173</v>
      </c>
      <c r="E31" s="403"/>
      <c r="F31" s="402"/>
      <c r="G31" s="402"/>
      <c r="H31" s="402"/>
      <c r="I31" s="403"/>
      <c r="J31" s="403"/>
      <c r="K31" s="403"/>
      <c r="L31" s="403"/>
      <c r="M31" s="403"/>
      <c r="N31" s="403"/>
      <c r="O31" s="403"/>
      <c r="P31" s="403"/>
    </row>
    <row r="32" spans="1:16" s="264" customFormat="1" ht="14.25" customHeight="1">
      <c r="A32" s="684"/>
      <c r="B32" s="685"/>
      <c r="C32" s="261"/>
      <c r="D32" s="424" t="s">
        <v>455</v>
      </c>
      <c r="E32" s="424"/>
      <c r="F32" s="402"/>
      <c r="G32" s="402"/>
      <c r="H32" s="402"/>
      <c r="I32" s="403"/>
      <c r="J32" s="403"/>
      <c r="K32" s="403"/>
      <c r="L32" s="403"/>
      <c r="M32" s="403"/>
      <c r="N32" s="403"/>
      <c r="O32" s="403"/>
      <c r="P32" s="403"/>
    </row>
    <row r="33" spans="1:16" s="264" customFormat="1" ht="14.25" customHeight="1">
      <c r="A33" s="684"/>
      <c r="B33" s="685"/>
      <c r="C33" s="261"/>
      <c r="D33" s="424" t="s">
        <v>172</v>
      </c>
      <c r="E33" s="424"/>
      <c r="F33" s="402"/>
      <c r="G33" s="402"/>
      <c r="H33" s="402"/>
      <c r="I33" s="403"/>
      <c r="J33" s="403"/>
      <c r="K33" s="403"/>
      <c r="L33" s="403"/>
      <c r="M33" s="403"/>
      <c r="N33" s="403"/>
      <c r="O33" s="403"/>
      <c r="P33" s="403"/>
    </row>
    <row r="34" spans="1:16" s="264" customFormat="1" ht="14.25" customHeight="1">
      <c r="A34" s="684"/>
      <c r="B34" s="685"/>
      <c r="C34" s="261"/>
      <c r="D34" s="424" t="s">
        <v>171</v>
      </c>
      <c r="E34" s="424"/>
      <c r="F34" s="402"/>
      <c r="G34" s="402"/>
      <c r="H34" s="402"/>
      <c r="I34" s="403"/>
      <c r="J34" s="403"/>
      <c r="K34" s="403"/>
      <c r="L34" s="403"/>
      <c r="M34" s="403"/>
      <c r="N34" s="403"/>
      <c r="O34" s="403"/>
      <c r="P34" s="403"/>
    </row>
    <row r="35" spans="1:16" s="264" customFormat="1" ht="14.25" customHeight="1">
      <c r="A35" s="684"/>
      <c r="B35" s="685"/>
      <c r="C35" s="261"/>
      <c r="D35" s="424" t="s">
        <v>170</v>
      </c>
      <c r="E35" s="424"/>
      <c r="F35" s="402"/>
      <c r="G35" s="402"/>
      <c r="H35" s="402"/>
      <c r="I35" s="403"/>
      <c r="J35" s="403"/>
      <c r="K35" s="403"/>
      <c r="L35" s="403"/>
      <c r="M35" s="403"/>
      <c r="N35" s="403"/>
      <c r="O35" s="403"/>
      <c r="P35" s="403"/>
    </row>
    <row r="36" spans="1:16" s="264" customFormat="1" ht="14.25" customHeight="1">
      <c r="A36" s="684"/>
      <c r="B36" s="685"/>
      <c r="C36" s="261"/>
      <c r="D36" s="580" t="s">
        <v>822</v>
      </c>
      <c r="E36" s="402"/>
      <c r="F36" s="402"/>
      <c r="G36" s="402"/>
      <c r="H36" s="402"/>
      <c r="I36" s="403"/>
      <c r="J36" s="403"/>
      <c r="K36" s="403"/>
      <c r="L36" s="403"/>
      <c r="M36" s="403"/>
      <c r="N36" s="403"/>
      <c r="O36" s="403"/>
      <c r="P36" s="403"/>
    </row>
    <row r="37" spans="1:16" s="264" customFormat="1" ht="14.25" customHeight="1" thickBot="1">
      <c r="A37" s="714"/>
      <c r="B37" s="715"/>
      <c r="C37" s="262"/>
      <c r="D37" s="580" t="s">
        <v>823</v>
      </c>
      <c r="E37" s="402"/>
      <c r="F37" s="402"/>
      <c r="G37" s="402"/>
      <c r="H37" s="402"/>
      <c r="I37" s="403"/>
      <c r="J37" s="403"/>
      <c r="K37" s="403"/>
      <c r="L37" s="403"/>
      <c r="M37" s="403"/>
      <c r="N37" s="403"/>
      <c r="O37" s="403"/>
      <c r="P37" s="403"/>
    </row>
    <row r="38" spans="1:16" s="264" customFormat="1" ht="19.5" customHeight="1" thickBot="1">
      <c r="A38" s="406"/>
      <c r="B38" s="403"/>
      <c r="C38" s="406"/>
      <c r="D38" s="705"/>
      <c r="E38" s="705"/>
      <c r="F38" s="705"/>
      <c r="G38" s="402"/>
      <c r="H38" s="402"/>
      <c r="I38" s="403"/>
      <c r="J38" s="403"/>
      <c r="K38" s="403"/>
      <c r="L38" s="403"/>
      <c r="M38" s="403"/>
      <c r="N38" s="403"/>
      <c r="O38" s="403"/>
      <c r="P38" s="403"/>
    </row>
    <row r="39" spans="1:16" ht="22.5" customHeight="1" thickBot="1">
      <c r="A39" s="694" t="s">
        <v>516</v>
      </c>
      <c r="B39" s="695"/>
      <c r="C39" s="695"/>
      <c r="D39" s="695"/>
      <c r="E39" s="695"/>
      <c r="F39" s="694" t="s">
        <v>643</v>
      </c>
      <c r="G39" s="706"/>
      <c r="H39" s="706"/>
      <c r="I39" s="706"/>
      <c r="J39" s="706"/>
      <c r="K39" s="706"/>
      <c r="L39" s="707"/>
      <c r="M39" s="405"/>
      <c r="N39" s="405"/>
      <c r="O39" s="405"/>
      <c r="P39" s="405"/>
    </row>
    <row r="40" spans="1:16" ht="22.5" customHeight="1">
      <c r="A40" s="696"/>
      <c r="B40" s="697"/>
      <c r="C40" s="697"/>
      <c r="D40" s="697"/>
      <c r="E40" s="698"/>
      <c r="F40" s="425">
        <v>1</v>
      </c>
      <c r="G40" s="677" t="s">
        <v>644</v>
      </c>
      <c r="H40" s="677"/>
      <c r="I40" s="677"/>
      <c r="J40" s="679"/>
      <c r="K40" s="679"/>
      <c r="L40" s="680"/>
      <c r="M40" s="405"/>
      <c r="N40" s="405"/>
      <c r="O40" s="405"/>
      <c r="P40" s="405"/>
    </row>
    <row r="41" spans="1:16" ht="22.5" customHeight="1">
      <c r="A41" s="699"/>
      <c r="B41" s="700"/>
      <c r="C41" s="700"/>
      <c r="D41" s="700"/>
      <c r="E41" s="701"/>
      <c r="F41" s="426">
        <v>2</v>
      </c>
      <c r="G41" s="677" t="s">
        <v>650</v>
      </c>
      <c r="H41" s="677"/>
      <c r="I41" s="677"/>
      <c r="J41" s="681"/>
      <c r="K41" s="681"/>
      <c r="L41" s="682"/>
      <c r="M41" s="405"/>
      <c r="N41" s="405"/>
      <c r="O41" s="405"/>
      <c r="P41" s="405"/>
    </row>
    <row r="42" spans="1:16" ht="23.25" customHeight="1">
      <c r="A42" s="699"/>
      <c r="B42" s="700"/>
      <c r="C42" s="700"/>
      <c r="D42" s="700"/>
      <c r="E42" s="701"/>
      <c r="F42" s="426">
        <v>3</v>
      </c>
      <c r="G42" s="677" t="s">
        <v>651</v>
      </c>
      <c r="H42" s="677"/>
      <c r="I42" s="677"/>
      <c r="J42" s="681"/>
      <c r="K42" s="681"/>
      <c r="L42" s="682"/>
      <c r="M42" s="405"/>
      <c r="N42" s="405"/>
      <c r="O42" s="405"/>
      <c r="P42" s="405"/>
    </row>
    <row r="43" spans="1:16" ht="27" customHeight="1">
      <c r="A43" s="699"/>
      <c r="B43" s="700"/>
      <c r="C43" s="700"/>
      <c r="D43" s="700"/>
      <c r="E43" s="701"/>
      <c r="F43" s="426">
        <v>4</v>
      </c>
      <c r="G43" s="677" t="s">
        <v>517</v>
      </c>
      <c r="H43" s="677"/>
      <c r="I43" s="677"/>
      <c r="J43" s="681"/>
      <c r="K43" s="681"/>
      <c r="L43" s="682"/>
      <c r="M43" s="405"/>
      <c r="N43" s="405"/>
      <c r="O43" s="405"/>
      <c r="P43" s="405"/>
    </row>
    <row r="44" spans="1:16" ht="28.5" customHeight="1">
      <c r="A44" s="699"/>
      <c r="B44" s="700"/>
      <c r="C44" s="700"/>
      <c r="D44" s="700"/>
      <c r="E44" s="701"/>
      <c r="F44" s="426">
        <v>5</v>
      </c>
      <c r="G44" s="683" t="s">
        <v>652</v>
      </c>
      <c r="H44" s="683"/>
      <c r="I44" s="683"/>
      <c r="J44" s="681"/>
      <c r="K44" s="681"/>
      <c r="L44" s="682"/>
      <c r="M44" s="405"/>
      <c r="N44" s="405"/>
      <c r="O44" s="428"/>
      <c r="P44" s="405"/>
    </row>
    <row r="45" spans="1:16" ht="27.75" customHeight="1" thickBot="1">
      <c r="A45" s="702"/>
      <c r="B45" s="703"/>
      <c r="C45" s="703"/>
      <c r="D45" s="703"/>
      <c r="E45" s="704"/>
      <c r="F45" s="427">
        <v>6</v>
      </c>
      <c r="G45" s="678" t="s">
        <v>653</v>
      </c>
      <c r="H45" s="678"/>
      <c r="I45" s="678"/>
      <c r="J45" s="675"/>
      <c r="K45" s="675"/>
      <c r="L45" s="676"/>
      <c r="M45" s="405"/>
      <c r="N45" s="405"/>
      <c r="O45" s="405"/>
      <c r="P45" s="405"/>
    </row>
    <row r="46" spans="1:16" ht="15.75" customHeight="1">
      <c r="A46" s="405"/>
      <c r="B46" s="405"/>
      <c r="C46" s="405"/>
      <c r="D46" s="405"/>
      <c r="E46" s="405"/>
      <c r="F46" s="405"/>
      <c r="G46" s="405"/>
      <c r="H46" s="405"/>
      <c r="I46" s="405"/>
      <c r="J46" s="405"/>
      <c r="K46" s="274"/>
      <c r="L46" s="275"/>
      <c r="M46" s="405"/>
      <c r="N46" s="405"/>
      <c r="O46" s="405"/>
      <c r="P46" s="405"/>
    </row>
    <row r="47" spans="1:16" ht="15.75" customHeight="1">
      <c r="A47" s="405"/>
      <c r="B47" s="405"/>
      <c r="C47" s="405"/>
      <c r="D47" s="405"/>
      <c r="E47" s="405"/>
      <c r="F47" s="405"/>
      <c r="G47" s="405"/>
      <c r="H47" s="405"/>
      <c r="I47" s="405"/>
      <c r="J47" s="405"/>
      <c r="K47" s="274"/>
      <c r="L47" s="275"/>
      <c r="M47" s="405"/>
      <c r="N47" s="405"/>
      <c r="O47" s="405"/>
      <c r="P47" s="405"/>
    </row>
    <row r="48" spans="1:16" ht="15.75" customHeight="1">
      <c r="A48" s="405"/>
      <c r="B48" s="405"/>
      <c r="C48" s="405"/>
      <c r="D48" s="405"/>
      <c r="E48" s="405"/>
      <c r="F48" s="405"/>
      <c r="G48" s="405"/>
      <c r="H48" s="405"/>
      <c r="I48" s="405"/>
      <c r="J48" s="405"/>
      <c r="K48" s="274"/>
      <c r="L48" s="275"/>
      <c r="M48" s="405"/>
      <c r="N48" s="405"/>
      <c r="O48" s="405"/>
      <c r="P48" s="405"/>
    </row>
    <row r="65379" ht="12.75">
      <c r="A65379" s="276"/>
    </row>
    <row r="65380" ht="12.75">
      <c r="A65380" s="276"/>
    </row>
    <row r="65381" ht="12.75">
      <c r="A65381" s="276"/>
    </row>
    <row r="65382" ht="12.75">
      <c r="A65382" s="276"/>
    </row>
    <row r="65383" ht="12.75">
      <c r="A65383" s="276"/>
    </row>
    <row r="65384" ht="12.75">
      <c r="A65384" s="276"/>
    </row>
    <row r="65385" ht="12.75">
      <c r="A65385" s="276"/>
    </row>
    <row r="65386" ht="12.75">
      <c r="A65386" s="276"/>
    </row>
    <row r="65387" ht="12.75">
      <c r="A65387" s="276"/>
    </row>
    <row r="65388" ht="12.75">
      <c r="A65388" s="276"/>
    </row>
    <row r="65389" ht="12.75">
      <c r="A65389" s="276"/>
    </row>
    <row r="65390" ht="12.75">
      <c r="A65390" s="276"/>
    </row>
    <row r="65391" ht="12.75">
      <c r="A65391" s="276"/>
    </row>
    <row r="65392" ht="12.75">
      <c r="A65392" s="276"/>
    </row>
    <row r="65393" ht="12.75">
      <c r="A65393" s="276"/>
    </row>
    <row r="65394" ht="12.75">
      <c r="A65394" s="276"/>
    </row>
    <row r="65395" ht="12.75">
      <c r="A65395" s="276"/>
    </row>
    <row r="65396" ht="12.75">
      <c r="A65396" s="276"/>
    </row>
    <row r="65397" ht="12.75">
      <c r="A65397" s="276"/>
    </row>
    <row r="65398" ht="12.75">
      <c r="A65398" s="276"/>
    </row>
    <row r="65399" ht="12.75">
      <c r="A65399" s="276"/>
    </row>
    <row r="65400" ht="12.75">
      <c r="A65400" s="276"/>
    </row>
    <row r="65401" ht="12.75">
      <c r="A65401" s="276"/>
    </row>
    <row r="65402" ht="12.75">
      <c r="A65402" s="276"/>
    </row>
    <row r="65403" ht="12.75">
      <c r="A65403" s="276"/>
    </row>
    <row r="65404" ht="12.75">
      <c r="A65404" s="276"/>
    </row>
    <row r="65405" ht="12.75">
      <c r="A65405" s="276"/>
    </row>
    <row r="65406" ht="12.75">
      <c r="A65406" s="276"/>
    </row>
    <row r="65407" ht="12.75">
      <c r="A65407" s="276"/>
    </row>
    <row r="65408" ht="12.75">
      <c r="A65408" s="276"/>
    </row>
    <row r="65409" ht="12.75">
      <c r="A65409" s="276"/>
    </row>
    <row r="65410" ht="12.75">
      <c r="A65410" s="276"/>
    </row>
    <row r="65411" ht="12.75">
      <c r="A65411" s="276"/>
    </row>
  </sheetData>
  <sheetProtection password="860F" sheet="1" selectLockedCells="1"/>
  <mergeCells count="74">
    <mergeCell ref="B5:D5"/>
    <mergeCell ref="B6:D6"/>
    <mergeCell ref="D19:D20"/>
    <mergeCell ref="I17:J17"/>
    <mergeCell ref="B10:D10"/>
    <mergeCell ref="F8:G8"/>
    <mergeCell ref="F5:G5"/>
    <mergeCell ref="F11:G11"/>
    <mergeCell ref="G7:L7"/>
    <mergeCell ref="B13:C13"/>
    <mergeCell ref="E7:F7"/>
    <mergeCell ref="I10:L10"/>
    <mergeCell ref="I8:L8"/>
    <mergeCell ref="G14:H14"/>
    <mergeCell ref="B9:D9"/>
    <mergeCell ref="B8:D8"/>
    <mergeCell ref="I11:L11"/>
    <mergeCell ref="K19:K20"/>
    <mergeCell ref="G13:K13"/>
    <mergeCell ref="I14:J14"/>
    <mergeCell ref="K14:L14"/>
    <mergeCell ref="A30:B30"/>
    <mergeCell ref="A22:L22"/>
    <mergeCell ref="I16:J16"/>
    <mergeCell ref="I19:J20"/>
    <mergeCell ref="F3:G3"/>
    <mergeCell ref="E6:F6"/>
    <mergeCell ref="B3:E3"/>
    <mergeCell ref="B12:G12"/>
    <mergeCell ref="I18:J18"/>
    <mergeCell ref="B14:D14"/>
    <mergeCell ref="B4:G4"/>
    <mergeCell ref="B11:D11"/>
    <mergeCell ref="B7:D7"/>
    <mergeCell ref="H3:L3"/>
    <mergeCell ref="K5:L5"/>
    <mergeCell ref="G6:L6"/>
    <mergeCell ref="I9:L9"/>
    <mergeCell ref="F10:G10"/>
    <mergeCell ref="A31:B31"/>
    <mergeCell ref="A34:B34"/>
    <mergeCell ref="A19:A20"/>
    <mergeCell ref="H19:H20"/>
    <mergeCell ref="G19:G20"/>
    <mergeCell ref="F19:F20"/>
    <mergeCell ref="A39:E39"/>
    <mergeCell ref="A40:E45"/>
    <mergeCell ref="D38:F38"/>
    <mergeCell ref="F39:L39"/>
    <mergeCell ref="J42:L42"/>
    <mergeCell ref="E14:F14"/>
    <mergeCell ref="G41:I41"/>
    <mergeCell ref="A23:L24"/>
    <mergeCell ref="J43:L43"/>
    <mergeCell ref="A37:B37"/>
    <mergeCell ref="A36:B36"/>
    <mergeCell ref="A33:B33"/>
    <mergeCell ref="I12:L12"/>
    <mergeCell ref="L19:L20"/>
    <mergeCell ref="E13:F13"/>
    <mergeCell ref="F9:G9"/>
    <mergeCell ref="A32:B32"/>
    <mergeCell ref="E19:E20"/>
    <mergeCell ref="A35:B35"/>
    <mergeCell ref="A29:B29"/>
    <mergeCell ref="J45:L45"/>
    <mergeCell ref="G43:I43"/>
    <mergeCell ref="G40:I40"/>
    <mergeCell ref="G45:I45"/>
    <mergeCell ref="J40:L40"/>
    <mergeCell ref="J44:L44"/>
    <mergeCell ref="G42:I42"/>
    <mergeCell ref="G44:I44"/>
    <mergeCell ref="J41:L41"/>
  </mergeCells>
  <conditionalFormatting sqref="I8:L8">
    <cfRule type="colorScale" priority="1" dxfId="46">
      <colorScale>
        <cfvo type="min" val="0"/>
        <cfvo type="percentile" val="50"/>
        <cfvo type="max"/>
        <color rgb="FFF8696B"/>
        <color rgb="FFFFEB84"/>
        <color rgb="FF63BE7B"/>
      </colorScale>
    </cfRule>
  </conditionalFormatting>
  <dataValidations count="6">
    <dataValidation allowBlank="1" showInputMessage="1" promptTitle="Calendar Information" prompt="Enter dates for your program's calendar on Form 6A." sqref="B17:C20 D17:G19"/>
    <dataValidation type="list" allowBlank="1" showInputMessage="1" showErrorMessage="1" sqref="A31:B35">
      <formula1>"Counseling, Social Work, Psychological, Speech-Language, Occupational Therapy,Physical Therapy"</formula1>
    </dataValidation>
    <dataValidation type="list" allowBlank="1" showInputMessage="1" showErrorMessage="1" sqref="C30:C37">
      <formula1>"100%,99%,98%,97%,96%,95%,94%,93%,92%,91%,90%,89%,88%,87%,86%,85%,84%,83%,82%,81%, 80%"</formula1>
    </dataValidation>
    <dataValidation type="list" allowBlank="1" showInputMessage="1" showErrorMessage="1" sqref="B13:C13">
      <formula1>rgFullHalf</formula1>
    </dataValidation>
    <dataValidation type="list" allowBlank="1" showInputMessage="1" showErrorMessage="1" sqref="G13:L13">
      <formula1>"Type I, Type II"</formula1>
    </dataValidation>
    <dataValidation type="list" allowBlank="1" showInputMessage="1" showErrorMessage="1" sqref="A30:B30">
      <formula1>"Counseling, Social Work, Psychological, Speech-Language, Occupational Therapy,Physical Therapy"</formula1>
    </dataValidation>
  </dataValidations>
  <printOptions horizontalCentered="1"/>
  <pageMargins left="0" right="0" top="0" bottom="0" header="0" footer="0"/>
  <pageSetup horizontalDpi="600" verticalDpi="600" orientation="portrait" scale="78" r:id="rId1"/>
  <headerFooter alignWithMargins="0">
    <oddFooter>&amp;LNSES Budget Template - Approved&amp;C01/2023&amp;R1A</oddFooter>
  </headerFooter>
</worksheet>
</file>

<file path=xl/worksheets/sheet20.xml><?xml version="1.0" encoding="utf-8"?>
<worksheet xmlns="http://schemas.openxmlformats.org/spreadsheetml/2006/main" xmlns:r="http://schemas.openxmlformats.org/officeDocument/2006/relationships">
  <dimension ref="A1:E63"/>
  <sheetViews>
    <sheetView zoomScalePageLayoutView="0" workbookViewId="0" topLeftCell="A4">
      <selection activeCell="A14" sqref="A14"/>
    </sheetView>
  </sheetViews>
  <sheetFormatPr defaultColWidth="9.140625" defaultRowHeight="12.75"/>
  <cols>
    <col min="1" max="1" width="16.14062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127</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805</v>
      </c>
      <c r="B4" s="108"/>
      <c r="C4" s="108"/>
      <c r="D4" s="108"/>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738</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rgCats4H</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Approved&amp;C01/2023&amp;R4H</oddFooter>
  </headerFooter>
</worksheet>
</file>

<file path=xl/worksheets/sheet21.xml><?xml version="1.0" encoding="utf-8"?>
<worksheet xmlns="http://schemas.openxmlformats.org/spreadsheetml/2006/main" xmlns:r="http://schemas.openxmlformats.org/officeDocument/2006/relationships">
  <dimension ref="A1:E63"/>
  <sheetViews>
    <sheetView zoomScalePageLayoutView="0" workbookViewId="0" topLeftCell="A5">
      <selection activeCell="A17" sqref="A17"/>
    </sheetView>
  </sheetViews>
  <sheetFormatPr defaultColWidth="9.140625" defaultRowHeight="12.75"/>
  <cols>
    <col min="1" max="1" width="16.42187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128</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468</v>
      </c>
      <c r="B4" s="108"/>
      <c r="C4" s="108"/>
      <c r="D4" s="109"/>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469</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rgCats4I</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Approved&amp;C01/2023&amp;R4I</oddFooter>
  </headerFooter>
</worksheet>
</file>

<file path=xl/worksheets/sheet22.xml><?xml version="1.0" encoding="utf-8"?>
<worksheet xmlns="http://schemas.openxmlformats.org/spreadsheetml/2006/main" xmlns:r="http://schemas.openxmlformats.org/officeDocument/2006/relationships">
  <dimension ref="A1:E63"/>
  <sheetViews>
    <sheetView zoomScalePageLayoutView="0" workbookViewId="0" topLeftCell="A4">
      <selection activeCell="A17" sqref="A17"/>
    </sheetView>
  </sheetViews>
  <sheetFormatPr defaultColWidth="9.140625" defaultRowHeight="12.75"/>
  <cols>
    <col min="1" max="1" width="16.710937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129</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248</v>
      </c>
      <c r="B4" s="108"/>
      <c r="C4" s="108"/>
      <c r="D4" s="109"/>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249</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rgCats4J</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Approved&amp;C01/2023&amp;R4J</oddFooter>
  </headerFooter>
</worksheet>
</file>

<file path=xl/worksheets/sheet23.xml><?xml version="1.0" encoding="utf-8"?>
<worksheet xmlns="http://schemas.openxmlformats.org/spreadsheetml/2006/main" xmlns:r="http://schemas.openxmlformats.org/officeDocument/2006/relationships">
  <dimension ref="A1:E63"/>
  <sheetViews>
    <sheetView zoomScalePageLayoutView="0" workbookViewId="0" topLeftCell="A4">
      <selection activeCell="A19" sqref="A19"/>
    </sheetView>
  </sheetViews>
  <sheetFormatPr defaultColWidth="9.140625" defaultRowHeight="12.75"/>
  <cols>
    <col min="1" max="1" width="16.42187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132</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130</v>
      </c>
      <c r="B4" s="108"/>
      <c r="C4" s="108"/>
      <c r="D4" s="109"/>
    </row>
    <row r="5" spans="1:5" s="114" customFormat="1" ht="13.5" customHeight="1" thickBot="1">
      <c r="A5" s="386" t="s">
        <v>647</v>
      </c>
      <c r="B5" s="83" t="s">
        <v>649</v>
      </c>
      <c r="C5" s="112" t="s">
        <v>19</v>
      </c>
      <c r="D5" s="112" t="s">
        <v>0</v>
      </c>
      <c r="E5" s="129" t="s">
        <v>18</v>
      </c>
    </row>
    <row r="6" spans="1:5" ht="23.25" customHeight="1">
      <c r="A6" s="235"/>
      <c r="B6" s="365"/>
      <c r="C6" s="443">
        <v>0</v>
      </c>
      <c r="D6" s="443">
        <v>0</v>
      </c>
      <c r="E6" s="132"/>
    </row>
    <row r="7" spans="1:5" ht="23.25" customHeight="1">
      <c r="A7" s="236"/>
      <c r="B7" s="366"/>
      <c r="C7" s="445" t="s">
        <v>25</v>
      </c>
      <c r="D7" s="444"/>
      <c r="E7" s="134"/>
    </row>
    <row r="8" spans="1:5" ht="23.25" customHeight="1">
      <c r="A8" s="236"/>
      <c r="B8" s="366"/>
      <c r="C8" s="444"/>
      <c r="D8" s="444"/>
      <c r="E8" s="134"/>
    </row>
    <row r="9" spans="1:5" ht="23.25" customHeight="1">
      <c r="A9" s="236"/>
      <c r="B9" s="366"/>
      <c r="C9" s="444"/>
      <c r="D9" s="444"/>
      <c r="E9" s="134"/>
    </row>
    <row r="10" spans="1:5" ht="23.25" customHeight="1">
      <c r="A10" s="236"/>
      <c r="B10" s="366"/>
      <c r="C10" s="444"/>
      <c r="D10" s="444"/>
      <c r="E10" s="134"/>
    </row>
    <row r="11" spans="1:5" ht="23.25" customHeight="1">
      <c r="A11" s="236"/>
      <c r="B11" s="366"/>
      <c r="C11" s="444"/>
      <c r="D11" s="444"/>
      <c r="E11" s="134"/>
    </row>
    <row r="12" spans="1:5" ht="23.25" customHeight="1">
      <c r="A12" s="236"/>
      <c r="B12" s="366"/>
      <c r="C12" s="444"/>
      <c r="D12" s="444"/>
      <c r="E12" s="134"/>
    </row>
    <row r="13" spans="1:5" ht="23.25" customHeight="1">
      <c r="A13" s="236"/>
      <c r="B13" s="366"/>
      <c r="C13" s="444"/>
      <c r="D13" s="444"/>
      <c r="E13" s="134"/>
    </row>
    <row r="14" spans="1:5" ht="23.25" customHeight="1">
      <c r="A14" s="236"/>
      <c r="B14" s="366"/>
      <c r="C14" s="444"/>
      <c r="D14" s="444"/>
      <c r="E14" s="134"/>
    </row>
    <row r="15" spans="1:5" ht="23.25" customHeight="1">
      <c r="A15" s="236"/>
      <c r="B15" s="366"/>
      <c r="C15" s="444"/>
      <c r="D15" s="444"/>
      <c r="E15" s="134"/>
    </row>
    <row r="16" spans="1:5" ht="23.25" customHeight="1">
      <c r="A16" s="236"/>
      <c r="B16" s="366"/>
      <c r="C16" s="444"/>
      <c r="D16" s="444"/>
      <c r="E16" s="134"/>
    </row>
    <row r="17" spans="1:5" ht="23.25" customHeight="1">
      <c r="A17" s="236"/>
      <c r="B17" s="366"/>
      <c r="C17" s="444"/>
      <c r="D17" s="444"/>
      <c r="E17" s="134"/>
    </row>
    <row r="18" spans="1:5" ht="23.25" customHeight="1">
      <c r="A18" s="236"/>
      <c r="B18" s="366"/>
      <c r="C18" s="444"/>
      <c r="D18" s="444"/>
      <c r="E18" s="134"/>
    </row>
    <row r="19" spans="1:5" ht="23.25" customHeight="1" thickBot="1">
      <c r="A19" s="236"/>
      <c r="B19" s="366"/>
      <c r="C19" s="444"/>
      <c r="D19" s="444"/>
      <c r="E19" s="134"/>
    </row>
    <row r="20" spans="1:5" ht="18.75" customHeight="1" thickBot="1">
      <c r="A20" s="770" t="s">
        <v>131</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rgCats4K</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Approved&amp;C01/2023&amp;R4K</oddFooter>
  </headerFooter>
</worksheet>
</file>

<file path=xl/worksheets/sheet24.xml><?xml version="1.0" encoding="utf-8"?>
<worksheet xmlns="http://schemas.openxmlformats.org/spreadsheetml/2006/main" xmlns:r="http://schemas.openxmlformats.org/officeDocument/2006/relationships">
  <dimension ref="A1:E63"/>
  <sheetViews>
    <sheetView zoomScalePageLayoutView="0" workbookViewId="0" topLeftCell="A4">
      <selection activeCell="A15" sqref="A15"/>
    </sheetView>
  </sheetViews>
  <sheetFormatPr defaultColWidth="9.140625" defaultRowHeight="12.75"/>
  <cols>
    <col min="1" max="1" width="16.42187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133</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470</v>
      </c>
      <c r="B4" s="108"/>
      <c r="C4" s="108"/>
      <c r="D4" s="109"/>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471</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rgCats4L</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Approved&amp;C01/2023&amp;R4L</oddFooter>
  </headerFooter>
</worksheet>
</file>

<file path=xl/worksheets/sheet25.xml><?xml version="1.0" encoding="utf-8"?>
<worksheet xmlns="http://schemas.openxmlformats.org/spreadsheetml/2006/main" xmlns:r="http://schemas.openxmlformats.org/officeDocument/2006/relationships">
  <dimension ref="A1:E63"/>
  <sheetViews>
    <sheetView zoomScalePageLayoutView="0" workbookViewId="0" topLeftCell="A4">
      <selection activeCell="C6" sqref="C6"/>
    </sheetView>
  </sheetViews>
  <sheetFormatPr defaultColWidth="9.140625" defaultRowHeight="12.75"/>
  <cols>
    <col min="1" max="1" width="16.42187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134</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472</v>
      </c>
      <c r="B4" s="108"/>
      <c r="C4" s="108"/>
      <c r="D4" s="109"/>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473</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rgCats4M</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Approved&amp;C01/2023&amp;R4M</oddFooter>
  </headerFooter>
</worksheet>
</file>

<file path=xl/worksheets/sheet26.xml><?xml version="1.0" encoding="utf-8"?>
<worksheet xmlns="http://schemas.openxmlformats.org/spreadsheetml/2006/main" xmlns:r="http://schemas.openxmlformats.org/officeDocument/2006/relationships">
  <dimension ref="A1:E63"/>
  <sheetViews>
    <sheetView zoomScalePageLayoutView="0" workbookViewId="0" topLeftCell="A4">
      <selection activeCell="E14" sqref="E14"/>
    </sheetView>
  </sheetViews>
  <sheetFormatPr defaultColWidth="9.140625" defaultRowHeight="12.75"/>
  <cols>
    <col min="1" max="1" width="16.421875" style="119" customWidth="1"/>
    <col min="2" max="2" width="41.57421875" style="119" customWidth="1"/>
    <col min="3" max="3" width="14.7109375" style="128" customWidth="1"/>
    <col min="4" max="4" width="14.7109375" style="126" customWidth="1"/>
    <col min="5" max="5" width="50.00390625" style="119" customWidth="1"/>
    <col min="6" max="6" width="9.140625" style="119" customWidth="1"/>
    <col min="7" max="7" width="9.140625" style="119" hidden="1" customWidth="1"/>
    <col min="8" max="16384" width="9.140625" style="119" customWidth="1"/>
  </cols>
  <sheetData>
    <row r="1" spans="1:5" s="102" customFormat="1" ht="18.75" customHeight="1">
      <c r="A1" s="99" t="str">
        <f>clWBTitle</f>
        <v>Nonpublic Special Education School Budget for FY 2024</v>
      </c>
      <c r="B1" s="99"/>
      <c r="C1" s="100"/>
      <c r="D1" s="431" t="s">
        <v>713</v>
      </c>
      <c r="E1" s="101" t="s">
        <v>137</v>
      </c>
    </row>
    <row r="2" spans="1:5" s="102" customFormat="1" ht="15" customHeight="1">
      <c r="A2" s="99" t="str">
        <f>"School"&amp;CHAR(151)&amp;clSchoolName</f>
        <v>School—</v>
      </c>
      <c r="B2" s="99"/>
      <c r="C2" s="100"/>
      <c r="D2" s="100"/>
      <c r="E2" s="103"/>
    </row>
    <row r="3" spans="1:5" s="102" customFormat="1" ht="15" customHeight="1">
      <c r="A3" s="99" t="str">
        <f>"Program"&amp;CHAR(151)&amp;clProgramName</f>
        <v>Program—</v>
      </c>
      <c r="B3" s="99"/>
      <c r="C3" s="105"/>
      <c r="D3" s="106"/>
      <c r="E3" s="107"/>
    </row>
    <row r="4" spans="1:4" s="102" customFormat="1" ht="33.75" customHeight="1" thickBot="1">
      <c r="A4" s="108" t="s">
        <v>135</v>
      </c>
      <c r="B4" s="108"/>
      <c r="C4" s="108"/>
      <c r="D4" s="109"/>
    </row>
    <row r="5" spans="1:5" s="114" customFormat="1" ht="13.5" customHeight="1" thickBot="1">
      <c r="A5" s="386" t="s">
        <v>647</v>
      </c>
      <c r="B5" s="83" t="s">
        <v>649</v>
      </c>
      <c r="C5" s="112" t="s">
        <v>19</v>
      </c>
      <c r="D5" s="112" t="s">
        <v>0</v>
      </c>
      <c r="E5" s="129" t="s">
        <v>18</v>
      </c>
    </row>
    <row r="6" spans="1:5" ht="23.25" customHeight="1">
      <c r="A6" s="235"/>
      <c r="B6" s="365"/>
      <c r="C6" s="131">
        <v>0</v>
      </c>
      <c r="D6" s="131">
        <v>0</v>
      </c>
      <c r="E6" s="132"/>
    </row>
    <row r="7" spans="1:5" ht="23.25" customHeight="1">
      <c r="A7" s="236"/>
      <c r="B7" s="366"/>
      <c r="C7" s="133"/>
      <c r="D7" s="133"/>
      <c r="E7" s="134"/>
    </row>
    <row r="8" spans="1:5" ht="23.25" customHeight="1">
      <c r="A8" s="236"/>
      <c r="B8" s="366"/>
      <c r="C8" s="133"/>
      <c r="D8" s="133"/>
      <c r="E8" s="134"/>
    </row>
    <row r="9" spans="1:5" ht="23.25" customHeight="1">
      <c r="A9" s="236"/>
      <c r="B9" s="366"/>
      <c r="C9" s="133"/>
      <c r="D9" s="133"/>
      <c r="E9" s="134"/>
    </row>
    <row r="10" spans="1:5" ht="23.25" customHeight="1">
      <c r="A10" s="236"/>
      <c r="B10" s="366"/>
      <c r="C10" s="133"/>
      <c r="D10" s="133"/>
      <c r="E10" s="134"/>
    </row>
    <row r="11" spans="1:5" ht="23.25" customHeight="1">
      <c r="A11" s="236"/>
      <c r="B11" s="366"/>
      <c r="C11" s="133"/>
      <c r="D11" s="133"/>
      <c r="E11" s="134"/>
    </row>
    <row r="12" spans="1:5" ht="23.25" customHeight="1">
      <c r="A12" s="236"/>
      <c r="B12" s="366"/>
      <c r="C12" s="133"/>
      <c r="D12" s="133"/>
      <c r="E12" s="134"/>
    </row>
    <row r="13" spans="1:5" ht="23.25" customHeight="1">
      <c r="A13" s="236"/>
      <c r="B13" s="366"/>
      <c r="C13" s="133"/>
      <c r="D13" s="133"/>
      <c r="E13" s="134"/>
    </row>
    <row r="14" spans="1:5" ht="23.25" customHeight="1">
      <c r="A14" s="236"/>
      <c r="B14" s="366"/>
      <c r="C14" s="133"/>
      <c r="D14" s="133"/>
      <c r="E14" s="134"/>
    </row>
    <row r="15" spans="1:5" ht="23.25" customHeight="1">
      <c r="A15" s="236"/>
      <c r="B15" s="366"/>
      <c r="C15" s="133"/>
      <c r="D15" s="133"/>
      <c r="E15" s="134"/>
    </row>
    <row r="16" spans="1:5" ht="23.25" customHeight="1">
      <c r="A16" s="236"/>
      <c r="B16" s="366"/>
      <c r="C16" s="133"/>
      <c r="D16" s="133"/>
      <c r="E16" s="134"/>
    </row>
    <row r="17" spans="1:5" ht="23.25" customHeight="1">
      <c r="A17" s="236"/>
      <c r="B17" s="366"/>
      <c r="C17" s="133"/>
      <c r="D17" s="133"/>
      <c r="E17" s="134"/>
    </row>
    <row r="18" spans="1:5" ht="23.25" customHeight="1">
      <c r="A18" s="236"/>
      <c r="B18" s="366"/>
      <c r="C18" s="133"/>
      <c r="D18" s="133"/>
      <c r="E18" s="134"/>
    </row>
    <row r="19" spans="1:5" ht="23.25" customHeight="1" thickBot="1">
      <c r="A19" s="236"/>
      <c r="B19" s="366"/>
      <c r="C19" s="133"/>
      <c r="D19" s="133"/>
      <c r="E19" s="134"/>
    </row>
    <row r="20" spans="1:5" ht="18.75" customHeight="1" thickBot="1">
      <c r="A20" s="770" t="s">
        <v>136</v>
      </c>
      <c r="B20" s="767"/>
      <c r="C20" s="123">
        <f>SUM(C6:C19)</f>
        <v>0</v>
      </c>
      <c r="D20" s="123">
        <f>SUM(D6:D19)</f>
        <v>0</v>
      </c>
      <c r="E20" s="130"/>
    </row>
    <row r="21" spans="1:3" ht="13.5" customHeight="1">
      <c r="A21" s="124"/>
      <c r="B21" s="124"/>
      <c r="C21" s="125"/>
    </row>
    <row r="22" spans="1:3" ht="13.5" customHeight="1">
      <c r="A22" s="124"/>
      <c r="B22" s="124"/>
      <c r="C22" s="125"/>
    </row>
    <row r="23" spans="1:3" ht="13.5" customHeight="1">
      <c r="A23" s="124"/>
      <c r="B23" s="124"/>
      <c r="C23" s="125"/>
    </row>
    <row r="24" spans="1:3" ht="12.75">
      <c r="A24" s="124"/>
      <c r="B24" s="124"/>
      <c r="C24" s="125"/>
    </row>
    <row r="25" spans="1:3" ht="12.75">
      <c r="A25" s="124"/>
      <c r="B25" s="124"/>
      <c r="C25" s="125"/>
    </row>
    <row r="26" spans="1:3" ht="12.75">
      <c r="A26" s="124"/>
      <c r="B26" s="124"/>
      <c r="C26" s="125"/>
    </row>
    <row r="27" spans="1:3" ht="12.75">
      <c r="A27" s="124"/>
      <c r="B27" s="124"/>
      <c r="C27" s="125"/>
    </row>
    <row r="28" spans="1:3" ht="12.75">
      <c r="A28" s="124"/>
      <c r="B28" s="124"/>
      <c r="C28" s="125"/>
    </row>
    <row r="29" spans="1:3" ht="12.75">
      <c r="A29" s="124"/>
      <c r="B29" s="124"/>
      <c r="C29" s="125"/>
    </row>
    <row r="30" spans="1:3" ht="12.75">
      <c r="A30" s="124"/>
      <c r="B30" s="124"/>
      <c r="C30" s="125"/>
    </row>
    <row r="31" spans="1:3" ht="12.75">
      <c r="A31" s="124"/>
      <c r="B31" s="124"/>
      <c r="C31" s="125"/>
    </row>
    <row r="32" spans="1:3" ht="12.75">
      <c r="A32" s="124"/>
      <c r="B32" s="124"/>
      <c r="C32" s="125"/>
    </row>
    <row r="33" spans="1:3" ht="12.75">
      <c r="A33" s="124"/>
      <c r="B33" s="124"/>
      <c r="C33" s="125"/>
    </row>
    <row r="34" spans="1:3" ht="12.75">
      <c r="A34" s="124"/>
      <c r="B34" s="124"/>
      <c r="C34" s="125"/>
    </row>
    <row r="35" spans="1:3" ht="12.75">
      <c r="A35" s="124"/>
      <c r="B35" s="124"/>
      <c r="C35" s="125"/>
    </row>
    <row r="36" spans="1:3" ht="12.75">
      <c r="A36" s="124"/>
      <c r="B36" s="124"/>
      <c r="C36" s="125"/>
    </row>
    <row r="37" spans="1:3" ht="12.75">
      <c r="A37" s="124"/>
      <c r="B37" s="124"/>
      <c r="C37" s="125"/>
    </row>
    <row r="38" spans="1:3" ht="12.75">
      <c r="A38" s="124"/>
      <c r="B38" s="124"/>
      <c r="C38" s="125"/>
    </row>
    <row r="39" spans="1:3" ht="12.75">
      <c r="A39" s="124"/>
      <c r="B39" s="124"/>
      <c r="C39" s="125"/>
    </row>
    <row r="40" spans="1:3" ht="12.75">
      <c r="A40" s="124"/>
      <c r="B40" s="124"/>
      <c r="C40" s="125"/>
    </row>
    <row r="41" spans="1:3" ht="12.75">
      <c r="A41" s="124"/>
      <c r="B41" s="124"/>
      <c r="C41" s="125"/>
    </row>
    <row r="42" spans="1:3" ht="12.75">
      <c r="A42" s="124"/>
      <c r="B42" s="124"/>
      <c r="C42" s="125"/>
    </row>
    <row r="43" spans="1:3" ht="12.75">
      <c r="A43" s="124"/>
      <c r="B43" s="124"/>
      <c r="C43" s="125"/>
    </row>
    <row r="44" spans="1:3" ht="12.75">
      <c r="A44" s="124"/>
      <c r="B44" s="124"/>
      <c r="C44" s="125"/>
    </row>
    <row r="45" spans="1:3" ht="12.75">
      <c r="A45" s="124"/>
      <c r="B45" s="124"/>
      <c r="C45" s="125"/>
    </row>
    <row r="46" spans="1:3" ht="12.75">
      <c r="A46" s="124"/>
      <c r="B46" s="124"/>
      <c r="C46" s="125"/>
    </row>
    <row r="47" spans="1:3" ht="12.75">
      <c r="A47" s="124"/>
      <c r="B47" s="124"/>
      <c r="C47" s="125"/>
    </row>
    <row r="48" spans="1:3" ht="12.75">
      <c r="A48" s="124"/>
      <c r="B48" s="124"/>
      <c r="C48" s="125"/>
    </row>
    <row r="49" spans="1:3" ht="12.75">
      <c r="A49" s="124"/>
      <c r="B49" s="124"/>
      <c r="C49" s="125"/>
    </row>
    <row r="50" spans="1:3" ht="12.75">
      <c r="A50" s="124"/>
      <c r="B50" s="124"/>
      <c r="C50" s="125"/>
    </row>
    <row r="51" spans="1:3" ht="12.75">
      <c r="A51" s="124"/>
      <c r="B51" s="124"/>
      <c r="C51" s="125"/>
    </row>
    <row r="52" spans="1:3" ht="12.75">
      <c r="A52" s="124"/>
      <c r="B52" s="124"/>
      <c r="C52" s="125"/>
    </row>
    <row r="53" spans="1:3" ht="12.75">
      <c r="A53" s="124"/>
      <c r="B53" s="124"/>
      <c r="C53" s="125"/>
    </row>
    <row r="54" spans="1:3" ht="12.75">
      <c r="A54" s="124"/>
      <c r="B54" s="124"/>
      <c r="C54" s="125"/>
    </row>
    <row r="55" spans="1:3" ht="12.75">
      <c r="A55" s="124"/>
      <c r="B55" s="124"/>
      <c r="C55" s="125"/>
    </row>
    <row r="56" spans="1:3" ht="12.75">
      <c r="A56" s="124"/>
      <c r="B56" s="124"/>
      <c r="C56" s="125"/>
    </row>
    <row r="57" spans="1:3" ht="12.75">
      <c r="A57" s="124"/>
      <c r="B57" s="124"/>
      <c r="C57" s="125"/>
    </row>
    <row r="58" spans="1:3" ht="12.75">
      <c r="A58" s="124"/>
      <c r="B58" s="124"/>
      <c r="C58" s="125"/>
    </row>
    <row r="59" spans="1:3" ht="12.75">
      <c r="A59" s="124"/>
      <c r="B59" s="124"/>
      <c r="C59" s="125"/>
    </row>
    <row r="60" spans="1:3" ht="12.75">
      <c r="A60" s="124"/>
      <c r="B60" s="124"/>
      <c r="C60" s="125"/>
    </row>
    <row r="61" spans="1:3" ht="12.75">
      <c r="A61" s="124"/>
      <c r="B61" s="124"/>
      <c r="C61" s="125"/>
    </row>
    <row r="62" spans="1:3" ht="12.75">
      <c r="A62" s="124"/>
      <c r="B62" s="124"/>
      <c r="C62" s="125"/>
    </row>
    <row r="63" spans="1:3" ht="12.75">
      <c r="A63" s="124"/>
      <c r="B63" s="124"/>
      <c r="C63" s="125"/>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3">
    <dataValidation type="list" allowBlank="1" showInputMessage="1" showErrorMessage="1" sqref="A6:A19">
      <formula1>rgCats4N</formula1>
    </dataValidation>
    <dataValidation allowBlank="1" showInputMessage="1" showErrorMessage="1" sqref="B6:B19"/>
    <dataValidation type="custom" allowBlank="1" showInputMessage="1" showErrorMessage="1" prompt="Round Off. No Decimals" sqref="C6:D19">
      <formula1>IF(ISNUMBER(FIND(".",C6)),LEN(C6)-FIND(".",C6)&lt;=2,TRUE)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Approved&amp;C01/2023&amp;R4N</oddFooter>
  </headerFooter>
</worksheet>
</file>

<file path=xl/worksheets/sheet27.xml><?xml version="1.0" encoding="utf-8"?>
<worksheet xmlns="http://schemas.openxmlformats.org/spreadsheetml/2006/main" xmlns:r="http://schemas.openxmlformats.org/officeDocument/2006/relationships">
  <dimension ref="A1:AD98"/>
  <sheetViews>
    <sheetView zoomScalePageLayoutView="0" workbookViewId="0" topLeftCell="B1">
      <selection activeCell="B19" sqref="B19"/>
    </sheetView>
  </sheetViews>
  <sheetFormatPr defaultColWidth="9.140625" defaultRowHeight="12.75"/>
  <cols>
    <col min="1" max="1" width="37.57421875" style="0" customWidth="1"/>
    <col min="2" max="2" width="19.140625" style="0" customWidth="1"/>
    <col min="3" max="3" width="14.140625" style="0" customWidth="1"/>
    <col min="4" max="4" width="17.421875" style="0" customWidth="1"/>
    <col min="5" max="5" width="37.7109375" style="0" customWidth="1"/>
    <col min="6" max="6" width="18.8515625" style="0" customWidth="1"/>
    <col min="7" max="7" width="14.140625" style="0" customWidth="1"/>
    <col min="8" max="8" width="19.57421875" style="0" customWidth="1"/>
  </cols>
  <sheetData>
    <row r="1" spans="1:30" ht="12.75">
      <c r="A1" s="500"/>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row>
    <row r="2" spans="1:30" ht="15.75">
      <c r="A2" s="567" t="str">
        <f>clWBTitle</f>
        <v>Nonpublic Special Education School Budget for FY 2024</v>
      </c>
      <c r="B2" s="99"/>
      <c r="C2" s="500"/>
      <c r="D2" s="431" t="s">
        <v>713</v>
      </c>
      <c r="E2" s="500"/>
      <c r="F2" s="500"/>
      <c r="G2" s="500"/>
      <c r="H2" s="101" t="s">
        <v>799</v>
      </c>
      <c r="I2" s="500"/>
      <c r="J2" s="500"/>
      <c r="K2" s="500"/>
      <c r="L2" s="500"/>
      <c r="M2" s="500"/>
      <c r="N2" s="500"/>
      <c r="O2" s="500"/>
      <c r="P2" s="500"/>
      <c r="Q2" s="500"/>
      <c r="R2" s="500"/>
      <c r="S2" s="500"/>
      <c r="T2" s="500"/>
      <c r="U2" s="500"/>
      <c r="V2" s="500"/>
      <c r="W2" s="500"/>
      <c r="X2" s="500"/>
      <c r="Y2" s="500"/>
      <c r="Z2" s="500"/>
      <c r="AA2" s="500"/>
      <c r="AB2" s="500"/>
      <c r="AC2" s="500"/>
      <c r="AD2" s="500"/>
    </row>
    <row r="3" spans="1:30" ht="15.75">
      <c r="A3" s="567" t="str">
        <f>"School"&amp;CHAR(151)&amp;clSchoolName</f>
        <v>School—</v>
      </c>
      <c r="B3" s="99"/>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row>
    <row r="4" spans="1:30" ht="15.75">
      <c r="A4" s="567" t="str">
        <f>"Program"&amp;CHAR(151)&amp;clProgramName</f>
        <v>Program—</v>
      </c>
      <c r="B4" s="99"/>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row>
    <row r="5" spans="1:30" ht="15">
      <c r="A5" s="502"/>
      <c r="B5" s="502"/>
      <c r="C5" s="502"/>
      <c r="D5" s="502"/>
      <c r="E5" s="502"/>
      <c r="F5" s="502"/>
      <c r="G5" s="502"/>
      <c r="H5" s="502"/>
      <c r="I5" s="500"/>
      <c r="J5" s="500"/>
      <c r="K5" s="500"/>
      <c r="L5" s="500"/>
      <c r="M5" s="500"/>
      <c r="N5" s="500"/>
      <c r="O5" s="500"/>
      <c r="P5" s="500"/>
      <c r="Q5" s="500"/>
      <c r="R5" s="500"/>
      <c r="S5" s="500"/>
      <c r="T5" s="500"/>
      <c r="U5" s="500"/>
      <c r="V5" s="500"/>
      <c r="W5" s="500"/>
      <c r="X5" s="500"/>
      <c r="Y5" s="500"/>
      <c r="Z5" s="500"/>
      <c r="AA5" s="500"/>
      <c r="AB5" s="500"/>
      <c r="AC5" s="500"/>
      <c r="AD5" s="500"/>
    </row>
    <row r="6" spans="1:30" ht="16.5" thickBot="1">
      <c r="A6" s="530" t="s">
        <v>431</v>
      </c>
      <c r="B6" s="531"/>
      <c r="C6" s="531"/>
      <c r="D6" s="531"/>
      <c r="E6" s="530" t="s">
        <v>432</v>
      </c>
      <c r="F6" s="502"/>
      <c r="G6" s="502"/>
      <c r="H6" s="502"/>
      <c r="I6" s="500"/>
      <c r="J6" s="500"/>
      <c r="K6" s="500"/>
      <c r="L6" s="500"/>
      <c r="M6" s="500"/>
      <c r="N6" s="500"/>
      <c r="O6" s="500"/>
      <c r="P6" s="500"/>
      <c r="Q6" s="500"/>
      <c r="R6" s="500"/>
      <c r="S6" s="500"/>
      <c r="T6" s="500"/>
      <c r="U6" s="500"/>
      <c r="V6" s="500"/>
      <c r="W6" s="500"/>
      <c r="X6" s="500"/>
      <c r="Y6" s="500"/>
      <c r="Z6" s="500"/>
      <c r="AA6" s="500"/>
      <c r="AB6" s="500"/>
      <c r="AC6" s="500"/>
      <c r="AD6" s="500"/>
    </row>
    <row r="7" spans="1:30" ht="15">
      <c r="A7" s="520" t="s">
        <v>433</v>
      </c>
      <c r="B7" s="525" t="s">
        <v>827</v>
      </c>
      <c r="C7" s="526" t="s">
        <v>434</v>
      </c>
      <c r="D7" s="525" t="s">
        <v>827</v>
      </c>
      <c r="E7" s="520" t="s">
        <v>433</v>
      </c>
      <c r="F7" s="521" t="s">
        <v>827</v>
      </c>
      <c r="G7" s="520" t="s">
        <v>434</v>
      </c>
      <c r="H7" s="521" t="s">
        <v>827</v>
      </c>
      <c r="I7" s="500"/>
      <c r="J7" s="500"/>
      <c r="K7" s="500"/>
      <c r="L7" s="500"/>
      <c r="M7" s="500"/>
      <c r="N7" s="500"/>
      <c r="O7" s="500"/>
      <c r="P7" s="500"/>
      <c r="Q7" s="500"/>
      <c r="R7" s="500"/>
      <c r="S7" s="500"/>
      <c r="T7" s="500"/>
      <c r="U7" s="500"/>
      <c r="V7" s="500"/>
      <c r="W7" s="500"/>
      <c r="X7" s="500"/>
      <c r="Y7" s="500"/>
      <c r="Z7" s="500"/>
      <c r="AA7" s="500"/>
      <c r="AB7" s="500"/>
      <c r="AC7" s="500"/>
      <c r="AD7" s="500"/>
    </row>
    <row r="8" spans="1:30" ht="15.75" thickBot="1">
      <c r="A8" s="522"/>
      <c r="B8" s="527" t="s">
        <v>635</v>
      </c>
      <c r="C8" s="528" t="s">
        <v>435</v>
      </c>
      <c r="D8" s="527" t="s">
        <v>640</v>
      </c>
      <c r="E8" s="522"/>
      <c r="F8" s="523" t="s">
        <v>635</v>
      </c>
      <c r="G8" s="524" t="s">
        <v>435</v>
      </c>
      <c r="H8" s="523" t="s">
        <v>639</v>
      </c>
      <c r="I8" s="500"/>
      <c r="J8" s="500"/>
      <c r="K8" s="500"/>
      <c r="L8" s="500"/>
      <c r="M8" s="500"/>
      <c r="N8" s="500"/>
      <c r="O8" s="500"/>
      <c r="P8" s="500"/>
      <c r="Q8" s="500"/>
      <c r="R8" s="500"/>
      <c r="S8" s="500"/>
      <c r="T8" s="500"/>
      <c r="U8" s="500"/>
      <c r="V8" s="500"/>
      <c r="W8" s="500"/>
      <c r="X8" s="500"/>
      <c r="Y8" s="500"/>
      <c r="Z8" s="500"/>
      <c r="AA8" s="500"/>
      <c r="AB8" s="500"/>
      <c r="AC8" s="500"/>
      <c r="AD8" s="500"/>
    </row>
    <row r="9" spans="1:30" ht="15.75" thickBot="1">
      <c r="A9" s="515" t="s">
        <v>436</v>
      </c>
      <c r="B9" s="529">
        <f>B10+B11+B12+B13</f>
        <v>0</v>
      </c>
      <c r="C9" s="529">
        <f>C10+C11+C12+C13</f>
        <v>0</v>
      </c>
      <c r="D9" s="529">
        <f>D10+D11+D12+D13</f>
        <v>0</v>
      </c>
      <c r="E9" s="543" t="s">
        <v>807</v>
      </c>
      <c r="F9" s="392">
        <v>0</v>
      </c>
      <c r="G9" s="392">
        <v>0</v>
      </c>
      <c r="H9" s="396">
        <f>IF(F9=0,G9,G9+F9)</f>
        <v>0</v>
      </c>
      <c r="I9" s="500"/>
      <c r="J9" s="500"/>
      <c r="K9" s="500"/>
      <c r="L9" s="500"/>
      <c r="M9" s="500"/>
      <c r="N9" s="500"/>
      <c r="O9" s="500"/>
      <c r="P9" s="500"/>
      <c r="Q9" s="500"/>
      <c r="R9" s="500"/>
      <c r="S9" s="500"/>
      <c r="T9" s="500"/>
      <c r="U9" s="500"/>
      <c r="V9" s="500"/>
      <c r="W9" s="500"/>
      <c r="X9" s="500"/>
      <c r="Y9" s="500"/>
      <c r="Z9" s="500"/>
      <c r="AA9" s="500"/>
      <c r="AB9" s="500"/>
      <c r="AC9" s="500"/>
      <c r="AD9" s="500"/>
    </row>
    <row r="10" spans="1:30" ht="20.25">
      <c r="A10" s="532" t="s">
        <v>746</v>
      </c>
      <c r="B10" s="387">
        <v>0</v>
      </c>
      <c r="C10" s="388">
        <v>0</v>
      </c>
      <c r="D10" s="529">
        <f>IF(C10=0,B10,B10+C10)</f>
        <v>0</v>
      </c>
      <c r="E10" s="532" t="s">
        <v>746</v>
      </c>
      <c r="F10" s="516"/>
      <c r="G10" s="516"/>
      <c r="H10" s="517"/>
      <c r="I10" s="500"/>
      <c r="J10" s="500"/>
      <c r="K10" s="500"/>
      <c r="L10" s="500"/>
      <c r="M10" s="500"/>
      <c r="N10" s="500"/>
      <c r="O10" s="500"/>
      <c r="P10" s="500"/>
      <c r="Q10" s="500"/>
      <c r="R10" s="500"/>
      <c r="S10" s="500"/>
      <c r="T10" s="500"/>
      <c r="U10" s="500"/>
      <c r="V10" s="500"/>
      <c r="W10" s="500"/>
      <c r="X10" s="500"/>
      <c r="Y10" s="500"/>
      <c r="Z10" s="500"/>
      <c r="AA10" s="500"/>
      <c r="AB10" s="500"/>
      <c r="AC10" s="500"/>
      <c r="AD10" s="500"/>
    </row>
    <row r="11" spans="1:30" ht="20.25">
      <c r="A11" s="533" t="s">
        <v>439</v>
      </c>
      <c r="B11" s="387">
        <v>0</v>
      </c>
      <c r="C11" s="388">
        <v>0</v>
      </c>
      <c r="D11" s="529">
        <f aca="true" t="shared" si="0" ref="D11:D27">IF(C11=0,B11,B11+C11)</f>
        <v>0</v>
      </c>
      <c r="E11" s="533" t="s">
        <v>439</v>
      </c>
      <c r="F11" s="516"/>
      <c r="G11" s="516"/>
      <c r="H11" s="517"/>
      <c r="I11" s="500"/>
      <c r="J11" s="500"/>
      <c r="K11" s="500"/>
      <c r="L11" s="500"/>
      <c r="M11" s="500"/>
      <c r="N11" s="500"/>
      <c r="O11" s="500"/>
      <c r="P11" s="500"/>
      <c r="Q11" s="500"/>
      <c r="R11" s="500"/>
      <c r="S11" s="500"/>
      <c r="T11" s="500"/>
      <c r="U11" s="500"/>
      <c r="V11" s="500"/>
      <c r="W11" s="500"/>
      <c r="X11" s="500"/>
      <c r="Y11" s="500"/>
      <c r="Z11" s="500"/>
      <c r="AA11" s="500"/>
      <c r="AB11" s="500"/>
      <c r="AC11" s="500"/>
      <c r="AD11" s="500"/>
    </row>
    <row r="12" spans="1:30" ht="20.25">
      <c r="A12" s="533" t="s">
        <v>440</v>
      </c>
      <c r="B12" s="387">
        <v>0</v>
      </c>
      <c r="C12" s="388">
        <v>0</v>
      </c>
      <c r="D12" s="529">
        <f t="shared" si="0"/>
        <v>0</v>
      </c>
      <c r="E12" s="533" t="s">
        <v>440</v>
      </c>
      <c r="F12" s="518"/>
      <c r="G12" s="518"/>
      <c r="H12" s="517"/>
      <c r="I12" s="500"/>
      <c r="J12" s="500"/>
      <c r="K12" s="500"/>
      <c r="L12" s="500"/>
      <c r="M12" s="500"/>
      <c r="N12" s="500"/>
      <c r="O12" s="500"/>
      <c r="P12" s="500"/>
      <c r="Q12" s="500"/>
      <c r="R12" s="500"/>
      <c r="S12" s="500"/>
      <c r="T12" s="500"/>
      <c r="U12" s="500"/>
      <c r="V12" s="500"/>
      <c r="W12" s="500"/>
      <c r="X12" s="500"/>
      <c r="Y12" s="500"/>
      <c r="Z12" s="500"/>
      <c r="AA12" s="500"/>
      <c r="AB12" s="500"/>
      <c r="AC12" s="500"/>
      <c r="AD12" s="500"/>
    </row>
    <row r="13" spans="1:30" ht="20.25">
      <c r="A13" s="533" t="s">
        <v>441</v>
      </c>
      <c r="B13" s="387">
        <v>0</v>
      </c>
      <c r="C13" s="388">
        <v>0</v>
      </c>
      <c r="D13" s="529">
        <f t="shared" si="0"/>
        <v>0</v>
      </c>
      <c r="E13" s="533" t="s">
        <v>441</v>
      </c>
      <c r="F13" s="518"/>
      <c r="G13" s="518"/>
      <c r="H13" s="517"/>
      <c r="I13" s="500"/>
      <c r="J13" s="500"/>
      <c r="K13" s="500"/>
      <c r="L13" s="500"/>
      <c r="M13" s="500"/>
      <c r="N13" s="500"/>
      <c r="O13" s="500"/>
      <c r="P13" s="500"/>
      <c r="Q13" s="500"/>
      <c r="R13" s="500"/>
      <c r="S13" s="500"/>
      <c r="T13" s="500"/>
      <c r="U13" s="500"/>
      <c r="V13" s="500"/>
      <c r="W13" s="500"/>
      <c r="X13" s="500"/>
      <c r="Y13" s="500"/>
      <c r="Z13" s="500"/>
      <c r="AA13" s="500"/>
      <c r="AB13" s="500"/>
      <c r="AC13" s="500"/>
      <c r="AD13" s="500"/>
    </row>
    <row r="14" spans="1:30" ht="15">
      <c r="A14" s="533" t="s">
        <v>144</v>
      </c>
      <c r="B14" s="387">
        <v>0</v>
      </c>
      <c r="C14" s="388">
        <v>0</v>
      </c>
      <c r="D14" s="529">
        <f t="shared" si="0"/>
        <v>0</v>
      </c>
      <c r="E14" s="533" t="s">
        <v>144</v>
      </c>
      <c r="F14" s="393">
        <v>0</v>
      </c>
      <c r="G14" s="394">
        <v>0</v>
      </c>
      <c r="H14" s="519">
        <f>IF(F14=0,G14,G14+F14)</f>
        <v>0</v>
      </c>
      <c r="I14" s="500"/>
      <c r="J14" s="500"/>
      <c r="K14" s="500"/>
      <c r="L14" s="500"/>
      <c r="M14" s="500"/>
      <c r="N14" s="500"/>
      <c r="O14" s="500"/>
      <c r="P14" s="500"/>
      <c r="Q14" s="500"/>
      <c r="R14" s="500"/>
      <c r="S14" s="500"/>
      <c r="T14" s="500"/>
      <c r="U14" s="500"/>
      <c r="V14" s="500"/>
      <c r="W14" s="500"/>
      <c r="X14" s="500"/>
      <c r="Y14" s="500"/>
      <c r="Z14" s="500"/>
      <c r="AA14" s="500"/>
      <c r="AB14" s="500"/>
      <c r="AC14" s="500"/>
      <c r="AD14" s="500"/>
    </row>
    <row r="15" spans="1:30" ht="15">
      <c r="A15" s="533" t="s">
        <v>145</v>
      </c>
      <c r="B15" s="387">
        <v>0</v>
      </c>
      <c r="C15" s="388">
        <v>0</v>
      </c>
      <c r="D15" s="529">
        <f t="shared" si="0"/>
        <v>0</v>
      </c>
      <c r="E15" s="533" t="s">
        <v>145</v>
      </c>
      <c r="F15" s="393">
        <v>0</v>
      </c>
      <c r="G15" s="395">
        <v>0</v>
      </c>
      <c r="H15" s="519">
        <f aca="true" t="shared" si="1" ref="H15:H27">IF(F15=0,G15,G15+F15)</f>
        <v>0</v>
      </c>
      <c r="I15" s="500"/>
      <c r="J15" s="500"/>
      <c r="K15" s="500"/>
      <c r="L15" s="500"/>
      <c r="M15" s="500"/>
      <c r="N15" s="500"/>
      <c r="O15" s="500"/>
      <c r="P15" s="500"/>
      <c r="Q15" s="500"/>
      <c r="R15" s="500"/>
      <c r="S15" s="500"/>
      <c r="T15" s="500"/>
      <c r="U15" s="500"/>
      <c r="V15" s="500"/>
      <c r="W15" s="500"/>
      <c r="X15" s="500"/>
      <c r="Y15" s="500"/>
      <c r="Z15" s="500"/>
      <c r="AA15" s="500"/>
      <c r="AB15" s="500"/>
      <c r="AC15" s="500"/>
      <c r="AD15" s="500"/>
    </row>
    <row r="16" spans="1:30" ht="15">
      <c r="A16" s="532" t="s">
        <v>806</v>
      </c>
      <c r="B16" s="387">
        <v>0</v>
      </c>
      <c r="C16" s="388">
        <v>0</v>
      </c>
      <c r="D16" s="529">
        <f t="shared" si="0"/>
        <v>0</v>
      </c>
      <c r="E16" s="532" t="s">
        <v>806</v>
      </c>
      <c r="F16" s="393">
        <v>0</v>
      </c>
      <c r="G16" s="395">
        <v>0</v>
      </c>
      <c r="H16" s="519">
        <f t="shared" si="1"/>
        <v>0</v>
      </c>
      <c r="I16" s="500"/>
      <c r="J16" s="500"/>
      <c r="K16" s="500"/>
      <c r="L16" s="500"/>
      <c r="M16" s="500"/>
      <c r="N16" s="500"/>
      <c r="O16" s="500"/>
      <c r="P16" s="500"/>
      <c r="Q16" s="500"/>
      <c r="R16" s="500"/>
      <c r="S16" s="500"/>
      <c r="T16" s="500"/>
      <c r="U16" s="500"/>
      <c r="V16" s="500"/>
      <c r="W16" s="500"/>
      <c r="X16" s="500"/>
      <c r="Y16" s="500"/>
      <c r="Z16" s="500"/>
      <c r="AA16" s="500"/>
      <c r="AB16" s="500"/>
      <c r="AC16" s="500"/>
      <c r="AD16" s="500"/>
    </row>
    <row r="17" spans="1:30" ht="15">
      <c r="A17" s="533" t="s">
        <v>442</v>
      </c>
      <c r="B17" s="387">
        <v>0</v>
      </c>
      <c r="C17" s="388">
        <v>0</v>
      </c>
      <c r="D17" s="529">
        <f t="shared" si="0"/>
        <v>0</v>
      </c>
      <c r="E17" s="533" t="s">
        <v>442</v>
      </c>
      <c r="F17" s="393">
        <v>0</v>
      </c>
      <c r="G17" s="395">
        <v>0</v>
      </c>
      <c r="H17" s="519">
        <f t="shared" si="1"/>
        <v>0</v>
      </c>
      <c r="I17" s="500"/>
      <c r="J17" s="500"/>
      <c r="K17" s="500"/>
      <c r="L17" s="500"/>
      <c r="M17" s="500"/>
      <c r="N17" s="500"/>
      <c r="O17" s="500"/>
      <c r="P17" s="500"/>
      <c r="Q17" s="500"/>
      <c r="R17" s="500"/>
      <c r="S17" s="500"/>
      <c r="T17" s="500"/>
      <c r="U17" s="500"/>
      <c r="V17" s="500"/>
      <c r="W17" s="500"/>
      <c r="X17" s="500"/>
      <c r="Y17" s="500"/>
      <c r="Z17" s="500"/>
      <c r="AA17" s="500"/>
      <c r="AB17" s="500"/>
      <c r="AC17" s="500"/>
      <c r="AD17" s="500"/>
    </row>
    <row r="18" spans="1:30" ht="15">
      <c r="A18" s="532" t="s">
        <v>148</v>
      </c>
      <c r="B18" s="387">
        <v>0</v>
      </c>
      <c r="C18" s="388">
        <v>0</v>
      </c>
      <c r="D18" s="529">
        <f t="shared" si="0"/>
        <v>0</v>
      </c>
      <c r="E18" s="533" t="s">
        <v>148</v>
      </c>
      <c r="F18" s="393">
        <v>0</v>
      </c>
      <c r="G18" s="395">
        <v>0</v>
      </c>
      <c r="H18" s="519">
        <f t="shared" si="1"/>
        <v>0</v>
      </c>
      <c r="I18" s="500"/>
      <c r="J18" s="500"/>
      <c r="K18" s="500"/>
      <c r="L18" s="500"/>
      <c r="M18" s="500"/>
      <c r="N18" s="500"/>
      <c r="O18" s="500"/>
      <c r="P18" s="500"/>
      <c r="Q18" s="500"/>
      <c r="R18" s="500"/>
      <c r="S18" s="500"/>
      <c r="T18" s="500"/>
      <c r="U18" s="500"/>
      <c r="V18" s="500"/>
      <c r="W18" s="500"/>
      <c r="X18" s="500"/>
      <c r="Y18" s="500"/>
      <c r="Z18" s="500"/>
      <c r="AA18" s="500"/>
      <c r="AB18" s="500"/>
      <c r="AC18" s="500"/>
      <c r="AD18" s="500"/>
    </row>
    <row r="19" spans="1:30" ht="15">
      <c r="A19" s="533" t="s">
        <v>443</v>
      </c>
      <c r="B19" s="387">
        <v>0</v>
      </c>
      <c r="C19" s="388">
        <v>0</v>
      </c>
      <c r="D19" s="529">
        <f t="shared" si="0"/>
        <v>0</v>
      </c>
      <c r="E19" s="533" t="s">
        <v>443</v>
      </c>
      <c r="F19" s="393">
        <v>0</v>
      </c>
      <c r="G19" s="395">
        <v>0</v>
      </c>
      <c r="H19" s="519">
        <f t="shared" si="1"/>
        <v>0</v>
      </c>
      <c r="I19" s="500"/>
      <c r="J19" s="500"/>
      <c r="K19" s="500"/>
      <c r="L19" s="500"/>
      <c r="M19" s="500"/>
      <c r="N19" s="500"/>
      <c r="O19" s="500"/>
      <c r="P19" s="500"/>
      <c r="Q19" s="500"/>
      <c r="R19" s="500"/>
      <c r="S19" s="500"/>
      <c r="T19" s="500"/>
      <c r="U19" s="500"/>
      <c r="V19" s="500"/>
      <c r="W19" s="500"/>
      <c r="X19" s="500"/>
      <c r="Y19" s="500"/>
      <c r="Z19" s="500"/>
      <c r="AA19" s="500"/>
      <c r="AB19" s="500"/>
      <c r="AC19" s="500"/>
      <c r="AD19" s="500"/>
    </row>
    <row r="20" spans="1:30" ht="15">
      <c r="A20" s="533" t="s">
        <v>150</v>
      </c>
      <c r="B20" s="387">
        <v>0</v>
      </c>
      <c r="C20" s="388">
        <v>0</v>
      </c>
      <c r="D20" s="529">
        <f t="shared" si="0"/>
        <v>0</v>
      </c>
      <c r="E20" s="533" t="s">
        <v>150</v>
      </c>
      <c r="F20" s="393">
        <v>0</v>
      </c>
      <c r="G20" s="395">
        <v>0</v>
      </c>
      <c r="H20" s="519">
        <f t="shared" si="1"/>
        <v>0</v>
      </c>
      <c r="I20" s="500"/>
      <c r="J20" s="500"/>
      <c r="K20" s="500"/>
      <c r="L20" s="500"/>
      <c r="M20" s="500"/>
      <c r="N20" s="500"/>
      <c r="O20" s="500"/>
      <c r="P20" s="500"/>
      <c r="Q20" s="500"/>
      <c r="R20" s="500"/>
      <c r="S20" s="500"/>
      <c r="T20" s="500"/>
      <c r="U20" s="500"/>
      <c r="V20" s="500"/>
      <c r="W20" s="500"/>
      <c r="X20" s="500"/>
      <c r="Y20" s="500"/>
      <c r="Z20" s="500"/>
      <c r="AA20" s="500"/>
      <c r="AB20" s="500"/>
      <c r="AC20" s="500"/>
      <c r="AD20" s="500"/>
    </row>
    <row r="21" spans="1:30" ht="15">
      <c r="A21" s="533" t="s">
        <v>444</v>
      </c>
      <c r="B21" s="387">
        <v>0</v>
      </c>
      <c r="C21" s="388">
        <v>0</v>
      </c>
      <c r="D21" s="529">
        <f t="shared" si="0"/>
        <v>0</v>
      </c>
      <c r="E21" s="533" t="s">
        <v>444</v>
      </c>
      <c r="F21" s="393">
        <v>0</v>
      </c>
      <c r="G21" s="395">
        <v>0</v>
      </c>
      <c r="H21" s="519">
        <f t="shared" si="1"/>
        <v>0</v>
      </c>
      <c r="I21" s="500"/>
      <c r="J21" s="500"/>
      <c r="K21" s="500"/>
      <c r="L21" s="500"/>
      <c r="M21" s="500"/>
      <c r="N21" s="500"/>
      <c r="O21" s="500"/>
      <c r="P21" s="500"/>
      <c r="Q21" s="500"/>
      <c r="R21" s="500"/>
      <c r="S21" s="500"/>
      <c r="T21" s="500"/>
      <c r="U21" s="500"/>
      <c r="V21" s="500"/>
      <c r="W21" s="500"/>
      <c r="X21" s="500"/>
      <c r="Y21" s="500"/>
      <c r="Z21" s="500"/>
      <c r="AA21" s="500"/>
      <c r="AB21" s="500"/>
      <c r="AC21" s="500"/>
      <c r="AD21" s="500"/>
    </row>
    <row r="22" spans="1:30" ht="15">
      <c r="A22" s="533" t="s">
        <v>464</v>
      </c>
      <c r="B22" s="387">
        <v>0</v>
      </c>
      <c r="C22" s="388">
        <v>0</v>
      </c>
      <c r="D22" s="529">
        <f t="shared" si="0"/>
        <v>0</v>
      </c>
      <c r="E22" s="533" t="s">
        <v>464</v>
      </c>
      <c r="F22" s="393">
        <v>0</v>
      </c>
      <c r="G22" s="395">
        <v>0</v>
      </c>
      <c r="H22" s="519">
        <f t="shared" si="1"/>
        <v>0</v>
      </c>
      <c r="I22" s="500"/>
      <c r="J22" s="500"/>
      <c r="K22" s="500"/>
      <c r="L22" s="500"/>
      <c r="M22" s="500"/>
      <c r="N22" s="500"/>
      <c r="O22" s="500"/>
      <c r="P22" s="500"/>
      <c r="Q22" s="500"/>
      <c r="R22" s="500"/>
      <c r="S22" s="500"/>
      <c r="T22" s="500"/>
      <c r="U22" s="500"/>
      <c r="V22" s="500"/>
      <c r="W22" s="500"/>
      <c r="X22" s="500"/>
      <c r="Y22" s="500"/>
      <c r="Z22" s="500"/>
      <c r="AA22" s="500"/>
      <c r="AB22" s="500"/>
      <c r="AC22" s="500"/>
      <c r="AD22" s="500"/>
    </row>
    <row r="23" spans="1:30" ht="15">
      <c r="A23" s="533" t="s">
        <v>247</v>
      </c>
      <c r="B23" s="387">
        <v>0</v>
      </c>
      <c r="C23" s="388">
        <v>0</v>
      </c>
      <c r="D23" s="529">
        <f t="shared" si="0"/>
        <v>0</v>
      </c>
      <c r="E23" s="533" t="s">
        <v>247</v>
      </c>
      <c r="F23" s="393">
        <v>0</v>
      </c>
      <c r="G23" s="395">
        <v>0</v>
      </c>
      <c r="H23" s="519">
        <f t="shared" si="1"/>
        <v>0</v>
      </c>
      <c r="I23" s="500"/>
      <c r="J23" s="500"/>
      <c r="K23" s="500"/>
      <c r="L23" s="500"/>
      <c r="M23" s="500"/>
      <c r="N23" s="500"/>
      <c r="O23" s="500"/>
      <c r="P23" s="500"/>
      <c r="Q23" s="500"/>
      <c r="R23" s="500"/>
      <c r="S23" s="500"/>
      <c r="T23" s="500"/>
      <c r="U23" s="500"/>
      <c r="V23" s="500"/>
      <c r="W23" s="500"/>
      <c r="X23" s="500"/>
      <c r="Y23" s="500"/>
      <c r="Z23" s="500"/>
      <c r="AA23" s="500"/>
      <c r="AB23" s="500"/>
      <c r="AC23" s="500"/>
      <c r="AD23" s="500"/>
    </row>
    <row r="24" spans="1:30" ht="15">
      <c r="A24" s="533" t="s">
        <v>151</v>
      </c>
      <c r="B24" s="387">
        <v>0</v>
      </c>
      <c r="C24" s="388">
        <v>0</v>
      </c>
      <c r="D24" s="529">
        <f t="shared" si="0"/>
        <v>0</v>
      </c>
      <c r="E24" s="533" t="s">
        <v>151</v>
      </c>
      <c r="F24" s="393">
        <v>0</v>
      </c>
      <c r="G24" s="395">
        <v>0</v>
      </c>
      <c r="H24" s="519">
        <f t="shared" si="1"/>
        <v>0</v>
      </c>
      <c r="I24" s="500"/>
      <c r="J24" s="500"/>
      <c r="K24" s="500"/>
      <c r="L24" s="500"/>
      <c r="M24" s="500"/>
      <c r="N24" s="500"/>
      <c r="O24" s="500"/>
      <c r="P24" s="500"/>
      <c r="Q24" s="500"/>
      <c r="R24" s="500"/>
      <c r="S24" s="500"/>
      <c r="T24" s="500"/>
      <c r="U24" s="500"/>
      <c r="V24" s="500"/>
      <c r="W24" s="500"/>
      <c r="X24" s="500"/>
      <c r="Y24" s="500"/>
      <c r="Z24" s="500"/>
      <c r="AA24" s="500"/>
      <c r="AB24" s="500"/>
      <c r="AC24" s="500"/>
      <c r="AD24" s="500"/>
    </row>
    <row r="25" spans="1:30" ht="15">
      <c r="A25" s="533" t="s">
        <v>461</v>
      </c>
      <c r="B25" s="387">
        <v>0</v>
      </c>
      <c r="C25" s="388">
        <v>0</v>
      </c>
      <c r="D25" s="529">
        <f t="shared" si="0"/>
        <v>0</v>
      </c>
      <c r="E25" s="533" t="s">
        <v>461</v>
      </c>
      <c r="F25" s="393">
        <v>0</v>
      </c>
      <c r="G25" s="395">
        <v>0</v>
      </c>
      <c r="H25" s="519">
        <f t="shared" si="1"/>
        <v>0</v>
      </c>
      <c r="I25" s="500"/>
      <c r="J25" s="500"/>
      <c r="K25" s="500"/>
      <c r="L25" s="500"/>
      <c r="M25" s="500"/>
      <c r="N25" s="500"/>
      <c r="O25" s="500"/>
      <c r="P25" s="500"/>
      <c r="Q25" s="500"/>
      <c r="R25" s="500"/>
      <c r="S25" s="500"/>
      <c r="T25" s="500"/>
      <c r="U25" s="500"/>
      <c r="V25" s="500"/>
      <c r="W25" s="500"/>
      <c r="X25" s="500"/>
      <c r="Y25" s="500"/>
      <c r="Z25" s="500"/>
      <c r="AA25" s="500"/>
      <c r="AB25" s="500"/>
      <c r="AC25" s="500"/>
      <c r="AD25" s="500"/>
    </row>
    <row r="26" spans="1:30" ht="15">
      <c r="A26" s="533" t="s">
        <v>537</v>
      </c>
      <c r="B26" s="387">
        <v>0</v>
      </c>
      <c r="C26" s="388">
        <v>0</v>
      </c>
      <c r="D26" s="529">
        <f t="shared" si="0"/>
        <v>0</v>
      </c>
      <c r="E26" s="533" t="s">
        <v>537</v>
      </c>
      <c r="F26" s="393">
        <v>0</v>
      </c>
      <c r="G26" s="395">
        <v>0</v>
      </c>
      <c r="H26" s="519">
        <f t="shared" si="1"/>
        <v>0</v>
      </c>
      <c r="I26" s="500"/>
      <c r="J26" s="500"/>
      <c r="K26" s="500"/>
      <c r="L26" s="500"/>
      <c r="M26" s="500"/>
      <c r="N26" s="500"/>
      <c r="O26" s="500"/>
      <c r="P26" s="500"/>
      <c r="Q26" s="500"/>
      <c r="R26" s="500"/>
      <c r="S26" s="500"/>
      <c r="T26" s="500"/>
      <c r="U26" s="500"/>
      <c r="V26" s="500"/>
      <c r="W26" s="500"/>
      <c r="X26" s="500"/>
      <c r="Y26" s="500"/>
      <c r="Z26" s="500"/>
      <c r="AA26" s="500"/>
      <c r="AB26" s="500"/>
      <c r="AC26" s="500"/>
      <c r="AD26" s="500"/>
    </row>
    <row r="27" spans="1:30" ht="15.75" thickBot="1">
      <c r="A27" s="533" t="s">
        <v>153</v>
      </c>
      <c r="B27" s="387">
        <v>0</v>
      </c>
      <c r="C27" s="388">
        <v>0</v>
      </c>
      <c r="D27" s="529">
        <f t="shared" si="0"/>
        <v>0</v>
      </c>
      <c r="E27" s="533" t="s">
        <v>153</v>
      </c>
      <c r="F27" s="393">
        <v>0</v>
      </c>
      <c r="G27" s="395">
        <v>0</v>
      </c>
      <c r="H27" s="519">
        <f t="shared" si="1"/>
        <v>0</v>
      </c>
      <c r="I27" s="500"/>
      <c r="J27" s="500"/>
      <c r="K27" s="500"/>
      <c r="L27" s="500"/>
      <c r="M27" s="500"/>
      <c r="N27" s="500"/>
      <c r="O27" s="500"/>
      <c r="P27" s="500"/>
      <c r="Q27" s="500"/>
      <c r="R27" s="500"/>
      <c r="S27" s="500"/>
      <c r="T27" s="500"/>
      <c r="U27" s="500"/>
      <c r="V27" s="500"/>
      <c r="W27" s="500"/>
      <c r="X27" s="500"/>
      <c r="Y27" s="500"/>
      <c r="Z27" s="500"/>
      <c r="AA27" s="500"/>
      <c r="AB27" s="500"/>
      <c r="AC27" s="500"/>
      <c r="AD27" s="500"/>
    </row>
    <row r="28" spans="1:30" ht="20.25">
      <c r="A28" s="505"/>
      <c r="B28" s="506"/>
      <c r="C28" s="507"/>
      <c r="D28" s="508"/>
      <c r="E28" s="505"/>
      <c r="F28" s="509"/>
      <c r="G28" s="505"/>
      <c r="H28" s="510"/>
      <c r="I28" s="500"/>
      <c r="J28" s="500"/>
      <c r="K28" s="500"/>
      <c r="L28" s="500"/>
      <c r="M28" s="500"/>
      <c r="N28" s="500"/>
      <c r="O28" s="500"/>
      <c r="P28" s="500"/>
      <c r="Q28" s="500"/>
      <c r="R28" s="500"/>
      <c r="S28" s="500"/>
      <c r="T28" s="500"/>
      <c r="U28" s="500"/>
      <c r="V28" s="500"/>
      <c r="W28" s="500"/>
      <c r="X28" s="500"/>
      <c r="Y28" s="500"/>
      <c r="Z28" s="500"/>
      <c r="AA28" s="500"/>
      <c r="AB28" s="500"/>
      <c r="AC28" s="500"/>
      <c r="AD28" s="500"/>
    </row>
    <row r="29" spans="1:30" ht="16.5" thickBot="1">
      <c r="A29" s="511" t="s">
        <v>445</v>
      </c>
      <c r="B29" s="512">
        <f>SUM(B10:B27)</f>
        <v>0</v>
      </c>
      <c r="C29" s="513">
        <f>SUM(C10:C27)</f>
        <v>0</v>
      </c>
      <c r="D29" s="514">
        <f>SUM(D10:D27)</f>
        <v>0</v>
      </c>
      <c r="E29" s="511" t="s">
        <v>445</v>
      </c>
      <c r="F29" s="512">
        <f>SUM(F9:F27)</f>
        <v>0</v>
      </c>
      <c r="G29" s="513">
        <f>SUM(G9:G27)</f>
        <v>0</v>
      </c>
      <c r="H29" s="514">
        <f>SUM(H9:H27)</f>
        <v>0</v>
      </c>
      <c r="I29" s="500"/>
      <c r="J29" s="500"/>
      <c r="K29" s="500"/>
      <c r="L29" s="500"/>
      <c r="M29" s="500"/>
      <c r="N29" s="500"/>
      <c r="O29" s="500"/>
      <c r="P29" s="500"/>
      <c r="Q29" s="500"/>
      <c r="R29" s="500"/>
      <c r="S29" s="500"/>
      <c r="T29" s="500"/>
      <c r="U29" s="500"/>
      <c r="V29" s="500"/>
      <c r="W29" s="500"/>
      <c r="X29" s="500"/>
      <c r="Y29" s="500"/>
      <c r="Z29" s="500"/>
      <c r="AA29" s="500"/>
      <c r="AB29" s="500"/>
      <c r="AC29" s="500"/>
      <c r="AD29" s="500"/>
    </row>
    <row r="30" spans="1:30" ht="12.75">
      <c r="A30" s="500"/>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row>
    <row r="31" spans="1:30" ht="12.75">
      <c r="A31" s="500"/>
      <c r="B31" s="500"/>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row>
    <row r="32" spans="1:30" ht="12.75">
      <c r="A32" s="500"/>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row>
    <row r="33" spans="1:30" ht="12.75">
      <c r="A33" s="500"/>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row>
    <row r="34" spans="1:30" ht="12.75">
      <c r="A34" s="500"/>
      <c r="B34" s="500"/>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row>
    <row r="35" spans="1:30" ht="15">
      <c r="A35" s="500"/>
      <c r="B35" s="500"/>
      <c r="C35" s="500"/>
      <c r="D35" s="500"/>
      <c r="E35" s="500"/>
      <c r="F35" s="503"/>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row>
    <row r="36" spans="1:30" ht="20.25">
      <c r="A36" s="500"/>
      <c r="B36" s="500"/>
      <c r="C36" s="504"/>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row>
    <row r="37" spans="1:30" ht="12.75">
      <c r="A37" s="500"/>
      <c r="B37" s="500"/>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row>
    <row r="38" spans="1:30" ht="12.75">
      <c r="A38" s="500"/>
      <c r="B38" s="500"/>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row>
    <row r="39" spans="1:30" ht="12.75">
      <c r="A39" s="500"/>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row>
    <row r="40" spans="1:30" ht="12.75">
      <c r="A40" s="500"/>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row>
    <row r="41" spans="1:30" ht="12.75">
      <c r="A41" s="500"/>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row>
    <row r="42" spans="1:30" ht="12.75">
      <c r="A42" s="500"/>
      <c r="B42" s="500"/>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row>
    <row r="43" spans="1:30" ht="12.75">
      <c r="A43" s="500"/>
      <c r="B43" s="500"/>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row>
    <row r="44" spans="1:30" ht="12.75">
      <c r="A44" s="500"/>
      <c r="B44" s="500"/>
      <c r="C44" s="500"/>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row>
    <row r="45" spans="1:30" ht="12.75">
      <c r="A45" s="500"/>
      <c r="B45" s="500"/>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row>
    <row r="46" spans="1:30" ht="12.75">
      <c r="A46" s="500"/>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row>
    <row r="47" spans="1:30" ht="12.75">
      <c r="A47" s="500"/>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row>
    <row r="48" spans="1:30" ht="12.75">
      <c r="A48" s="500"/>
      <c r="B48" s="500"/>
      <c r="C48" s="500"/>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row>
    <row r="49" spans="1:30" ht="12.75">
      <c r="A49" s="500"/>
      <c r="B49" s="500"/>
      <c r="C49" s="500"/>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row>
    <row r="50" spans="1:30" ht="12.75">
      <c r="A50" s="500"/>
      <c r="B50" s="500"/>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row>
    <row r="51" spans="1:30" ht="12.75">
      <c r="A51" s="500"/>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row>
    <row r="52" spans="1:30" ht="12.75">
      <c r="A52" s="500"/>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row>
    <row r="53" spans="1:30" ht="12.75">
      <c r="A53" s="500"/>
      <c r="B53" s="500"/>
      <c r="C53" s="500"/>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row>
    <row r="54" spans="1:30" ht="12.75">
      <c r="A54" s="500"/>
      <c r="B54" s="500"/>
      <c r="C54" s="500"/>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row>
    <row r="55" spans="1:30" ht="12.75">
      <c r="A55" s="500"/>
      <c r="B55" s="500"/>
      <c r="C55" s="500"/>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row>
    <row r="56" spans="1:30" ht="12.75">
      <c r="A56" s="500"/>
      <c r="B56" s="500"/>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row>
    <row r="57" spans="1:30" ht="12.75">
      <c r="A57" s="500"/>
      <c r="B57" s="500"/>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row>
    <row r="58" spans="1:30" ht="12.75">
      <c r="A58" s="500"/>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row>
    <row r="59" spans="1:30" ht="12.75">
      <c r="A59" s="500"/>
      <c r="B59" s="500"/>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row>
    <row r="60" spans="1:30" ht="12.75">
      <c r="A60" s="500"/>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row>
    <row r="61" spans="1:30" ht="12.75">
      <c r="A61" s="500"/>
      <c r="B61" s="500"/>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row>
    <row r="62" spans="1:30" ht="12.75">
      <c r="A62" s="500"/>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row>
    <row r="63" spans="1:30" ht="12.75">
      <c r="A63" s="500"/>
      <c r="B63" s="50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row>
    <row r="64" spans="1:30" ht="12.75">
      <c r="A64" s="500"/>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row>
    <row r="65" spans="1:30" ht="12.75">
      <c r="A65" s="500"/>
      <c r="B65" s="500"/>
      <c r="C65" s="500"/>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row>
    <row r="66" spans="1:30" ht="12.75">
      <c r="A66" s="500"/>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row>
    <row r="67" spans="1:30" ht="12.75">
      <c r="A67" s="500"/>
      <c r="B67" s="500"/>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row>
    <row r="68" spans="1:30" ht="12.75">
      <c r="A68" s="500"/>
      <c r="B68" s="500"/>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row>
    <row r="69" spans="1:30" ht="12.75">
      <c r="A69" s="500"/>
      <c r="B69" s="500"/>
      <c r="C69" s="500"/>
      <c r="D69" s="500"/>
      <c r="E69" s="500"/>
      <c r="F69" s="500"/>
      <c r="G69" s="500"/>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row>
    <row r="70" spans="1:30" ht="12.75">
      <c r="A70" s="500"/>
      <c r="B70" s="500"/>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row>
    <row r="71" spans="1:30" ht="12.75">
      <c r="A71" s="500"/>
      <c r="B71" s="500"/>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row>
    <row r="72" spans="1:30" ht="12.75">
      <c r="A72" s="500"/>
      <c r="B72" s="500"/>
      <c r="C72" s="500"/>
      <c r="D72" s="500"/>
      <c r="E72" s="500"/>
      <c r="F72" s="500"/>
      <c r="G72" s="500"/>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row>
    <row r="73" spans="1:30" ht="12.75">
      <c r="A73" s="500"/>
      <c r="B73" s="500"/>
      <c r="C73" s="500"/>
      <c r="D73" s="500"/>
      <c r="E73" s="500"/>
      <c r="F73" s="500"/>
      <c r="G73" s="500"/>
      <c r="H73" s="500"/>
      <c r="I73" s="500"/>
      <c r="J73" s="500"/>
      <c r="K73" s="500"/>
      <c r="L73" s="500"/>
      <c r="M73" s="500"/>
      <c r="N73" s="500"/>
      <c r="O73" s="500"/>
      <c r="P73" s="500"/>
      <c r="Q73" s="500"/>
      <c r="R73" s="500"/>
      <c r="S73" s="500"/>
      <c r="T73" s="500"/>
      <c r="U73" s="500"/>
      <c r="V73" s="500"/>
      <c r="W73" s="500"/>
      <c r="X73" s="500"/>
      <c r="Y73" s="500"/>
      <c r="Z73" s="500"/>
      <c r="AA73" s="500"/>
      <c r="AB73" s="500"/>
      <c r="AC73" s="500"/>
      <c r="AD73" s="500"/>
    </row>
    <row r="74" spans="1:30" ht="12.75">
      <c r="A74" s="500"/>
      <c r="B74" s="500"/>
      <c r="C74" s="500"/>
      <c r="D74" s="500"/>
      <c r="E74" s="500"/>
      <c r="F74" s="500"/>
      <c r="G74" s="500"/>
      <c r="H74" s="500"/>
      <c r="I74" s="500"/>
      <c r="J74" s="500"/>
      <c r="K74" s="500"/>
      <c r="L74" s="500"/>
      <c r="M74" s="500"/>
      <c r="N74" s="500"/>
      <c r="O74" s="500"/>
      <c r="P74" s="500"/>
      <c r="Q74" s="500"/>
      <c r="R74" s="500"/>
      <c r="S74" s="500"/>
      <c r="T74" s="500"/>
      <c r="U74" s="500"/>
      <c r="V74" s="500"/>
      <c r="W74" s="500"/>
      <c r="X74" s="500"/>
      <c r="Y74" s="500"/>
      <c r="Z74" s="500"/>
      <c r="AA74" s="500"/>
      <c r="AB74" s="500"/>
      <c r="AC74" s="500"/>
      <c r="AD74" s="500"/>
    </row>
    <row r="75" spans="1:30" ht="12.75">
      <c r="A75" s="500"/>
      <c r="B75" s="500"/>
      <c r="C75" s="500"/>
      <c r="D75" s="500"/>
      <c r="E75" s="500"/>
      <c r="F75" s="500"/>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row>
    <row r="76" spans="1:30" ht="12.75">
      <c r="A76" s="500"/>
      <c r="B76" s="500"/>
      <c r="C76" s="500"/>
      <c r="D76" s="500"/>
      <c r="E76" s="500"/>
      <c r="F76" s="500"/>
      <c r="G76" s="500"/>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row>
    <row r="77" spans="1:30" ht="12.75">
      <c r="A77" s="500"/>
      <c r="B77" s="500"/>
      <c r="C77" s="500"/>
      <c r="D77" s="500"/>
      <c r="E77" s="500"/>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row>
    <row r="78" spans="1:30" ht="12.75">
      <c r="A78" s="500"/>
      <c r="B78" s="500"/>
      <c r="C78" s="500"/>
      <c r="D78" s="500"/>
      <c r="E78" s="500"/>
      <c r="F78" s="500"/>
      <c r="G78" s="500"/>
      <c r="H78" s="500"/>
      <c r="I78" s="500"/>
      <c r="J78" s="500"/>
      <c r="K78" s="500"/>
      <c r="L78" s="500"/>
      <c r="M78" s="500"/>
      <c r="N78" s="500"/>
      <c r="O78" s="500"/>
      <c r="P78" s="500"/>
      <c r="Q78" s="500"/>
      <c r="R78" s="500"/>
      <c r="S78" s="500"/>
      <c r="T78" s="500"/>
      <c r="U78" s="500"/>
      <c r="V78" s="500"/>
      <c r="W78" s="500"/>
      <c r="X78" s="500"/>
      <c r="Y78" s="500"/>
      <c r="Z78" s="500"/>
      <c r="AA78" s="500"/>
      <c r="AB78" s="500"/>
      <c r="AC78" s="500"/>
      <c r="AD78" s="500"/>
    </row>
    <row r="79" spans="1:30" ht="12.75">
      <c r="A79" s="500"/>
      <c r="B79" s="500"/>
      <c r="C79" s="500"/>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row>
    <row r="80" spans="1:30" ht="12.75">
      <c r="A80" s="500"/>
      <c r="B80" s="500"/>
      <c r="C80" s="500"/>
      <c r="D80" s="50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row>
    <row r="81" spans="1:30" ht="12.75">
      <c r="A81" s="500"/>
      <c r="B81" s="500"/>
      <c r="C81" s="500"/>
      <c r="D81" s="500"/>
      <c r="E81" s="500"/>
      <c r="F81" s="500"/>
      <c r="G81" s="500"/>
      <c r="H81" s="500"/>
      <c r="I81" s="500"/>
      <c r="J81" s="500"/>
      <c r="K81" s="500"/>
      <c r="L81" s="500"/>
      <c r="M81" s="500"/>
      <c r="N81" s="500"/>
      <c r="O81" s="500"/>
      <c r="P81" s="500"/>
      <c r="Q81" s="500"/>
      <c r="R81" s="500"/>
      <c r="S81" s="500"/>
      <c r="T81" s="500"/>
      <c r="U81" s="500"/>
      <c r="V81" s="500"/>
      <c r="W81" s="500"/>
      <c r="X81" s="500"/>
      <c r="Y81" s="500"/>
      <c r="Z81" s="500"/>
      <c r="AA81" s="500"/>
      <c r="AB81" s="500"/>
      <c r="AC81" s="500"/>
      <c r="AD81" s="500"/>
    </row>
    <row r="82" spans="1:30" ht="12.75">
      <c r="A82" s="500"/>
      <c r="B82" s="500"/>
      <c r="C82" s="500"/>
      <c r="D82" s="500"/>
      <c r="E82" s="500"/>
      <c r="F82" s="500"/>
      <c r="G82" s="500"/>
      <c r="H82" s="500"/>
      <c r="I82" s="500"/>
      <c r="J82" s="500"/>
      <c r="K82" s="500"/>
      <c r="L82" s="500"/>
      <c r="M82" s="500"/>
      <c r="N82" s="500"/>
      <c r="O82" s="500"/>
      <c r="P82" s="500"/>
      <c r="Q82" s="500"/>
      <c r="R82" s="500"/>
      <c r="S82" s="500"/>
      <c r="T82" s="500"/>
      <c r="U82" s="500"/>
      <c r="V82" s="500"/>
      <c r="W82" s="500"/>
      <c r="X82" s="500"/>
      <c r="Y82" s="500"/>
      <c r="Z82" s="500"/>
      <c r="AA82" s="500"/>
      <c r="AB82" s="500"/>
      <c r="AC82" s="500"/>
      <c r="AD82" s="500"/>
    </row>
    <row r="83" spans="1:30" ht="12.75">
      <c r="A83" s="500"/>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00"/>
      <c r="Z83" s="500"/>
      <c r="AA83" s="500"/>
      <c r="AB83" s="500"/>
      <c r="AC83" s="500"/>
      <c r="AD83" s="500"/>
    </row>
    <row r="84" spans="1:30" ht="12.75">
      <c r="A84" s="500"/>
      <c r="B84" s="500"/>
      <c r="C84" s="500"/>
      <c r="D84" s="500"/>
      <c r="E84" s="500"/>
      <c r="F84" s="500"/>
      <c r="G84" s="500"/>
      <c r="H84" s="500"/>
      <c r="I84" s="500"/>
      <c r="J84" s="500"/>
      <c r="K84" s="500"/>
      <c r="L84" s="500"/>
      <c r="M84" s="500"/>
      <c r="N84" s="500"/>
      <c r="O84" s="500"/>
      <c r="P84" s="500"/>
      <c r="Q84" s="500"/>
      <c r="R84" s="500"/>
      <c r="S84" s="500"/>
      <c r="T84" s="500"/>
      <c r="U84" s="500"/>
      <c r="V84" s="500"/>
      <c r="W84" s="500"/>
      <c r="X84" s="500"/>
      <c r="Y84" s="500"/>
      <c r="Z84" s="500"/>
      <c r="AA84" s="500"/>
      <c r="AB84" s="500"/>
      <c r="AC84" s="500"/>
      <c r="AD84" s="500"/>
    </row>
    <row r="85" spans="1:30" ht="12.75">
      <c r="A85" s="500"/>
      <c r="B85" s="500"/>
      <c r="C85" s="500"/>
      <c r="D85" s="500"/>
      <c r="E85" s="500"/>
      <c r="F85" s="500"/>
      <c r="G85" s="500"/>
      <c r="H85" s="500"/>
      <c r="I85" s="500"/>
      <c r="J85" s="500"/>
      <c r="K85" s="500"/>
      <c r="L85" s="500"/>
      <c r="M85" s="500"/>
      <c r="N85" s="500"/>
      <c r="O85" s="500"/>
      <c r="P85" s="500"/>
      <c r="Q85" s="500"/>
      <c r="R85" s="500"/>
      <c r="S85" s="500"/>
      <c r="T85" s="500"/>
      <c r="U85" s="500"/>
      <c r="V85" s="500"/>
      <c r="W85" s="500"/>
      <c r="X85" s="500"/>
      <c r="Y85" s="500"/>
      <c r="Z85" s="500"/>
      <c r="AA85" s="500"/>
      <c r="AB85" s="500"/>
      <c r="AC85" s="500"/>
      <c r="AD85" s="500"/>
    </row>
    <row r="86" spans="1:30" ht="12.75">
      <c r="A86" s="500"/>
      <c r="B86" s="500"/>
      <c r="C86" s="500"/>
      <c r="D86" s="500"/>
      <c r="E86" s="500"/>
      <c r="F86" s="500"/>
      <c r="G86" s="500"/>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row>
    <row r="87" spans="1:30" ht="12.75">
      <c r="A87" s="500"/>
      <c r="B87" s="500"/>
      <c r="C87" s="500"/>
      <c r="D87" s="500"/>
      <c r="E87" s="500"/>
      <c r="F87" s="500"/>
      <c r="G87" s="500"/>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row>
    <row r="88" spans="1:30" ht="12.75">
      <c r="A88" s="500"/>
      <c r="B88" s="500"/>
      <c r="C88" s="500"/>
      <c r="D88" s="500"/>
      <c r="E88" s="500"/>
      <c r="F88" s="500"/>
      <c r="G88" s="500"/>
      <c r="H88" s="500"/>
      <c r="I88" s="500"/>
      <c r="J88" s="500"/>
      <c r="K88" s="500"/>
      <c r="L88" s="500"/>
      <c r="M88" s="500"/>
      <c r="N88" s="500"/>
      <c r="O88" s="500"/>
      <c r="P88" s="500"/>
      <c r="Q88" s="500"/>
      <c r="R88" s="500"/>
      <c r="S88" s="500"/>
      <c r="T88" s="500"/>
      <c r="U88" s="500"/>
      <c r="V88" s="500"/>
      <c r="W88" s="500"/>
      <c r="X88" s="500"/>
      <c r="Y88" s="500"/>
      <c r="Z88" s="500"/>
      <c r="AA88" s="500"/>
      <c r="AB88" s="500"/>
      <c r="AC88" s="500"/>
      <c r="AD88" s="500"/>
    </row>
    <row r="89" spans="1:30" ht="12.75">
      <c r="A89" s="500"/>
      <c r="B89" s="500"/>
      <c r="C89" s="500"/>
      <c r="D89" s="500"/>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row>
    <row r="90" spans="1:30" ht="12.75">
      <c r="A90" s="500"/>
      <c r="B90" s="500"/>
      <c r="C90" s="500"/>
      <c r="D90" s="500"/>
      <c r="E90" s="500"/>
      <c r="F90" s="500"/>
      <c r="G90" s="500"/>
      <c r="H90" s="500"/>
      <c r="I90" s="500"/>
      <c r="J90" s="500"/>
      <c r="K90" s="500"/>
      <c r="L90" s="500"/>
      <c r="M90" s="500"/>
      <c r="N90" s="500"/>
      <c r="O90" s="500"/>
      <c r="P90" s="500"/>
      <c r="Q90" s="500"/>
      <c r="R90" s="500"/>
      <c r="S90" s="500"/>
      <c r="T90" s="500"/>
      <c r="U90" s="500"/>
      <c r="V90" s="500"/>
      <c r="W90" s="500"/>
      <c r="X90" s="500"/>
      <c r="Y90" s="500"/>
      <c r="Z90" s="500"/>
      <c r="AA90" s="500"/>
      <c r="AB90" s="500"/>
      <c r="AC90" s="500"/>
      <c r="AD90" s="500"/>
    </row>
    <row r="91" spans="1:30" ht="12.75">
      <c r="A91" s="500"/>
      <c r="B91" s="500"/>
      <c r="C91" s="500"/>
      <c r="D91" s="500"/>
      <c r="E91" s="500"/>
      <c r="F91" s="500"/>
      <c r="G91" s="500"/>
      <c r="H91" s="500"/>
      <c r="I91" s="500"/>
      <c r="J91" s="500"/>
      <c r="K91" s="500"/>
      <c r="L91" s="500"/>
      <c r="M91" s="500"/>
      <c r="N91" s="500"/>
      <c r="O91" s="500"/>
      <c r="P91" s="500"/>
      <c r="Q91" s="500"/>
      <c r="R91" s="500"/>
      <c r="S91" s="500"/>
      <c r="T91" s="500"/>
      <c r="U91" s="500"/>
      <c r="V91" s="500"/>
      <c r="W91" s="500"/>
      <c r="X91" s="500"/>
      <c r="Y91" s="500"/>
      <c r="Z91" s="500"/>
      <c r="AA91" s="500"/>
      <c r="AB91" s="500"/>
      <c r="AC91" s="500"/>
      <c r="AD91" s="500"/>
    </row>
    <row r="92" spans="1:30" ht="12.75">
      <c r="A92" s="500"/>
      <c r="B92" s="500"/>
      <c r="C92" s="500"/>
      <c r="D92" s="500"/>
      <c r="E92" s="500"/>
      <c r="F92" s="500"/>
      <c r="G92" s="500"/>
      <c r="H92" s="500"/>
      <c r="I92" s="500"/>
      <c r="J92" s="500"/>
      <c r="K92" s="500"/>
      <c r="L92" s="500"/>
      <c r="M92" s="500"/>
      <c r="N92" s="500"/>
      <c r="O92" s="500"/>
      <c r="P92" s="500"/>
      <c r="Q92" s="500"/>
      <c r="R92" s="500"/>
      <c r="S92" s="500"/>
      <c r="T92" s="500"/>
      <c r="U92" s="500"/>
      <c r="V92" s="500"/>
      <c r="W92" s="500"/>
      <c r="X92" s="500"/>
      <c r="Y92" s="500"/>
      <c r="Z92" s="500"/>
      <c r="AA92" s="500"/>
      <c r="AB92" s="500"/>
      <c r="AC92" s="500"/>
      <c r="AD92" s="500"/>
    </row>
    <row r="93" spans="1:30" ht="12.75">
      <c r="A93" s="500"/>
      <c r="B93" s="500"/>
      <c r="C93" s="500"/>
      <c r="D93" s="500"/>
      <c r="E93" s="500"/>
      <c r="F93" s="500"/>
      <c r="G93" s="500"/>
      <c r="H93" s="500"/>
      <c r="I93" s="500"/>
      <c r="J93" s="500"/>
      <c r="K93" s="500"/>
      <c r="L93" s="500"/>
      <c r="M93" s="500"/>
      <c r="N93" s="500"/>
      <c r="O93" s="500"/>
      <c r="P93" s="500"/>
      <c r="Q93" s="500"/>
      <c r="R93" s="500"/>
      <c r="S93" s="500"/>
      <c r="T93" s="500"/>
      <c r="U93" s="500"/>
      <c r="V93" s="500"/>
      <c r="W93" s="500"/>
      <c r="X93" s="500"/>
      <c r="Y93" s="500"/>
      <c r="Z93" s="500"/>
      <c r="AA93" s="500"/>
      <c r="AB93" s="500"/>
      <c r="AC93" s="500"/>
      <c r="AD93" s="500"/>
    </row>
    <row r="94" spans="1:30" ht="12.75">
      <c r="A94" s="500"/>
      <c r="B94" s="500"/>
      <c r="C94" s="500"/>
      <c r="D94" s="500"/>
      <c r="E94" s="500"/>
      <c r="F94" s="500"/>
      <c r="G94" s="500"/>
      <c r="H94" s="500"/>
      <c r="I94" s="500"/>
      <c r="J94" s="500"/>
      <c r="K94" s="500"/>
      <c r="L94" s="500"/>
      <c r="M94" s="500"/>
      <c r="N94" s="500"/>
      <c r="O94" s="500"/>
      <c r="P94" s="500"/>
      <c r="Q94" s="500"/>
      <c r="R94" s="500"/>
      <c r="S94" s="500"/>
      <c r="T94" s="500"/>
      <c r="U94" s="500"/>
      <c r="V94" s="500"/>
      <c r="W94" s="500"/>
      <c r="X94" s="500"/>
      <c r="Y94" s="500"/>
      <c r="Z94" s="500"/>
      <c r="AA94" s="500"/>
      <c r="AB94" s="500"/>
      <c r="AC94" s="500"/>
      <c r="AD94" s="500"/>
    </row>
    <row r="95" spans="1:30" ht="12.75">
      <c r="A95" s="500"/>
      <c r="B95" s="500"/>
      <c r="C95" s="500"/>
      <c r="D95" s="500"/>
      <c r="E95" s="500"/>
      <c r="F95" s="500"/>
      <c r="G95" s="500"/>
      <c r="H95" s="500"/>
      <c r="I95" s="500"/>
      <c r="J95" s="500"/>
      <c r="K95" s="500"/>
      <c r="L95" s="500"/>
      <c r="M95" s="500"/>
      <c r="N95" s="500"/>
      <c r="O95" s="500"/>
      <c r="P95" s="500"/>
      <c r="Q95" s="500"/>
      <c r="R95" s="500"/>
      <c r="S95" s="500"/>
      <c r="T95" s="500"/>
      <c r="U95" s="500"/>
      <c r="V95" s="500"/>
      <c r="W95" s="500"/>
      <c r="X95" s="500"/>
      <c r="Y95" s="500"/>
      <c r="Z95" s="500"/>
      <c r="AA95" s="500"/>
      <c r="AB95" s="500"/>
      <c r="AC95" s="500"/>
      <c r="AD95" s="500"/>
    </row>
    <row r="96" spans="1:30" ht="12.75">
      <c r="A96" s="500"/>
      <c r="B96" s="500"/>
      <c r="C96" s="500"/>
      <c r="D96" s="500"/>
      <c r="E96" s="500"/>
      <c r="F96" s="500"/>
      <c r="G96" s="500"/>
      <c r="H96" s="500"/>
      <c r="I96" s="500"/>
      <c r="J96" s="500"/>
      <c r="K96" s="500"/>
      <c r="L96" s="500"/>
      <c r="M96" s="500"/>
      <c r="N96" s="500"/>
      <c r="O96" s="500"/>
      <c r="P96" s="500"/>
      <c r="Q96" s="500"/>
      <c r="R96" s="500"/>
      <c r="S96" s="500"/>
      <c r="T96" s="500"/>
      <c r="U96" s="500"/>
      <c r="V96" s="500"/>
      <c r="W96" s="500"/>
      <c r="X96" s="500"/>
      <c r="Y96" s="500"/>
      <c r="Z96" s="500"/>
      <c r="AA96" s="500"/>
      <c r="AB96" s="500"/>
      <c r="AC96" s="500"/>
      <c r="AD96" s="500"/>
    </row>
    <row r="97" spans="1:30" ht="12.75">
      <c r="A97" s="500"/>
      <c r="B97" s="500"/>
      <c r="C97" s="500"/>
      <c r="D97" s="500"/>
      <c r="E97" s="500"/>
      <c r="F97" s="500"/>
      <c r="G97" s="500"/>
      <c r="H97" s="500"/>
      <c r="I97" s="500"/>
      <c r="J97" s="500"/>
      <c r="K97" s="500"/>
      <c r="L97" s="500"/>
      <c r="M97" s="500"/>
      <c r="N97" s="500"/>
      <c r="O97" s="500"/>
      <c r="P97" s="500"/>
      <c r="Q97" s="500"/>
      <c r="R97" s="500"/>
      <c r="S97" s="500"/>
      <c r="T97" s="500"/>
      <c r="U97" s="500"/>
      <c r="V97" s="500"/>
      <c r="W97" s="500"/>
      <c r="X97" s="500"/>
      <c r="Y97" s="500"/>
      <c r="Z97" s="500"/>
      <c r="AA97" s="500"/>
      <c r="AB97" s="500"/>
      <c r="AC97" s="500"/>
      <c r="AD97" s="500"/>
    </row>
    <row r="98" spans="1:30" ht="12.75">
      <c r="A98" s="500"/>
      <c r="B98" s="500"/>
      <c r="C98" s="500"/>
      <c r="D98" s="500"/>
      <c r="E98" s="500"/>
      <c r="F98" s="500"/>
      <c r="G98" s="500"/>
      <c r="H98" s="500"/>
      <c r="I98" s="500"/>
      <c r="J98" s="500"/>
      <c r="K98" s="500"/>
      <c r="L98" s="500"/>
      <c r="M98" s="500"/>
      <c r="N98" s="500"/>
      <c r="O98" s="500"/>
      <c r="P98" s="500"/>
      <c r="Q98" s="500"/>
      <c r="R98" s="500"/>
      <c r="S98" s="500"/>
      <c r="T98" s="500"/>
      <c r="U98" s="500"/>
      <c r="V98" s="500"/>
      <c r="W98" s="500"/>
      <c r="X98" s="500"/>
      <c r="Y98" s="500"/>
      <c r="Z98" s="500"/>
      <c r="AA98" s="500"/>
      <c r="AB98" s="500"/>
      <c r="AC98" s="500"/>
      <c r="AD98" s="500"/>
    </row>
  </sheetData>
  <sheetProtection password="860F" sheet="1" selectLockedCells="1"/>
  <printOptions horizontalCentered="1"/>
  <pageMargins left="0" right="0" top="0.5" bottom="0.5" header="0" footer="0"/>
  <pageSetup horizontalDpi="600" verticalDpi="600" orientation="landscape" scale="74" r:id="rId1"/>
  <headerFooter alignWithMargins="0">
    <oddHeader>&amp;C&amp;"Arial,Bold"&amp;14Template 
Nonpublic Special Education School Budget Adjustment 
FY 2023&amp;R&amp;"Arial,Bold"Form 5A</oddHeader>
    <oddFooter>&amp;LNSES Budget Template - Approved&amp;C01/2023&amp;R5A</oddFooter>
  </headerFooter>
</worksheet>
</file>

<file path=xl/worksheets/sheet28.xml><?xml version="1.0" encoding="utf-8"?>
<worksheet xmlns="http://schemas.openxmlformats.org/spreadsheetml/2006/main" xmlns:r="http://schemas.openxmlformats.org/officeDocument/2006/relationships">
  <dimension ref="A1:Q91"/>
  <sheetViews>
    <sheetView zoomScalePageLayoutView="0" workbookViewId="0" topLeftCell="A1">
      <selection activeCell="G11" sqref="G11"/>
    </sheetView>
  </sheetViews>
  <sheetFormatPr defaultColWidth="9.140625" defaultRowHeight="12.75"/>
  <cols>
    <col min="1" max="1" width="37.8515625" style="0" customWidth="1"/>
    <col min="2" max="2" width="16.8515625" style="0" customWidth="1"/>
    <col min="3" max="3" width="15.57421875" style="0" customWidth="1"/>
    <col min="4" max="4" width="13.28125" style="0" customWidth="1"/>
    <col min="5" max="5" width="12.8515625" style="0" customWidth="1"/>
    <col min="6" max="6" width="37.8515625" style="0" customWidth="1"/>
    <col min="7" max="7" width="17.421875" style="0" customWidth="1"/>
    <col min="8" max="8" width="14.28125" style="0" customWidth="1"/>
    <col min="9" max="9" width="13.28125" style="0" customWidth="1"/>
    <col min="10" max="10" width="12.8515625" style="0" customWidth="1"/>
  </cols>
  <sheetData>
    <row r="1" spans="1:17" ht="12.75">
      <c r="A1" s="463"/>
      <c r="B1" s="463"/>
      <c r="C1" s="464"/>
      <c r="D1" s="464"/>
      <c r="E1" s="464"/>
      <c r="F1" s="464"/>
      <c r="G1" s="464"/>
      <c r="H1" s="464"/>
      <c r="I1" s="463"/>
      <c r="J1" s="463"/>
      <c r="K1" s="500"/>
      <c r="L1" s="500"/>
      <c r="M1" s="500"/>
      <c r="N1" s="500"/>
      <c r="O1" s="500"/>
      <c r="P1" s="500"/>
      <c r="Q1" s="500"/>
    </row>
    <row r="2" spans="1:17" ht="15.75">
      <c r="A2" s="567" t="str">
        <f>clWBTitle</f>
        <v>Nonpublic Special Education School Budget for FY 2024</v>
      </c>
      <c r="B2" s="99"/>
      <c r="C2" s="464"/>
      <c r="D2" s="431" t="s">
        <v>713</v>
      </c>
      <c r="E2" s="464"/>
      <c r="F2" s="464"/>
      <c r="G2" s="464"/>
      <c r="H2" s="464"/>
      <c r="I2" s="463"/>
      <c r="J2" s="101" t="s">
        <v>800</v>
      </c>
      <c r="K2" s="500"/>
      <c r="L2" s="500"/>
      <c r="M2" s="500"/>
      <c r="N2" s="500"/>
      <c r="O2" s="500"/>
      <c r="P2" s="500"/>
      <c r="Q2" s="500"/>
    </row>
    <row r="3" spans="1:17" ht="15.75">
      <c r="A3" s="567" t="str">
        <f>"School"&amp;CHAR(151)&amp;clSchoolName</f>
        <v>School—</v>
      </c>
      <c r="B3" s="99"/>
      <c r="C3" s="464"/>
      <c r="D3" s="464"/>
      <c r="E3" s="464"/>
      <c r="F3" s="464"/>
      <c r="G3" s="464"/>
      <c r="H3" s="464"/>
      <c r="I3" s="463"/>
      <c r="J3" s="463"/>
      <c r="K3" s="500"/>
      <c r="L3" s="500"/>
      <c r="M3" s="500"/>
      <c r="N3" s="500"/>
      <c r="O3" s="500"/>
      <c r="P3" s="500"/>
      <c r="Q3" s="500"/>
    </row>
    <row r="4" spans="1:17" ht="15.75">
      <c r="A4" s="567" t="str">
        <f>"Program"&amp;CHAR(151)&amp;clProgramName</f>
        <v>Program—</v>
      </c>
      <c r="B4" s="99"/>
      <c r="C4" s="464"/>
      <c r="D4" s="464"/>
      <c r="E4" s="464"/>
      <c r="F4" s="464"/>
      <c r="G4" s="464"/>
      <c r="H4" s="464"/>
      <c r="I4" s="463"/>
      <c r="J4" s="463"/>
      <c r="K4" s="500"/>
      <c r="L4" s="500"/>
      <c r="M4" s="500"/>
      <c r="N4" s="500"/>
      <c r="O4" s="500"/>
      <c r="P4" s="500"/>
      <c r="Q4" s="500"/>
    </row>
    <row r="5" spans="1:17" ht="17.25" customHeight="1">
      <c r="A5" s="464"/>
      <c r="B5" s="539" t="s">
        <v>828</v>
      </c>
      <c r="C5" s="464"/>
      <c r="D5" s="538"/>
      <c r="E5" s="464"/>
      <c r="F5" s="575" t="s">
        <v>830</v>
      </c>
      <c r="G5" s="576"/>
      <c r="H5" s="464"/>
      <c r="I5" s="463"/>
      <c r="J5" s="463"/>
      <c r="K5" s="500"/>
      <c r="L5" s="500"/>
      <c r="M5" s="500"/>
      <c r="N5" s="500"/>
      <c r="O5" s="500"/>
      <c r="P5" s="500"/>
      <c r="Q5" s="500"/>
    </row>
    <row r="6" spans="1:17" ht="16.5" customHeight="1">
      <c r="A6" s="464"/>
      <c r="B6" s="540" t="s">
        <v>829</v>
      </c>
      <c r="C6" s="464"/>
      <c r="D6" s="538"/>
      <c r="E6" s="464"/>
      <c r="F6" s="464"/>
      <c r="G6" s="464"/>
      <c r="H6" s="464"/>
      <c r="I6" s="463"/>
      <c r="J6" s="463"/>
      <c r="K6" s="500"/>
      <c r="L6" s="500"/>
      <c r="M6" s="500"/>
      <c r="N6" s="500"/>
      <c r="O6" s="500"/>
      <c r="P6" s="500"/>
      <c r="Q6" s="500"/>
    </row>
    <row r="7" spans="1:17" ht="12.75">
      <c r="A7" s="463"/>
      <c r="B7" s="463"/>
      <c r="C7" s="464"/>
      <c r="D7" s="464"/>
      <c r="E7" s="464"/>
      <c r="F7" s="463"/>
      <c r="G7" s="463"/>
      <c r="H7" s="464"/>
      <c r="I7" s="464"/>
      <c r="J7" s="464"/>
      <c r="K7" s="500"/>
      <c r="L7" s="500"/>
      <c r="M7" s="500"/>
      <c r="N7" s="500"/>
      <c r="O7" s="500"/>
      <c r="P7" s="500"/>
      <c r="Q7" s="500"/>
    </row>
    <row r="8" spans="1:17" ht="15" thickBot="1">
      <c r="A8" s="465" t="s">
        <v>431</v>
      </c>
      <c r="B8" s="463"/>
      <c r="C8" s="464"/>
      <c r="D8" s="464"/>
      <c r="E8" s="464"/>
      <c r="F8" s="465" t="s">
        <v>453</v>
      </c>
      <c r="G8" s="463"/>
      <c r="H8" s="464"/>
      <c r="I8" s="464"/>
      <c r="J8" s="464"/>
      <c r="K8" s="500"/>
      <c r="L8" s="500"/>
      <c r="M8" s="500"/>
      <c r="N8" s="500"/>
      <c r="O8" s="500"/>
      <c r="P8" s="500"/>
      <c r="Q8" s="500"/>
    </row>
    <row r="9" spans="1:17" ht="14.25">
      <c r="A9" s="466" t="s">
        <v>433</v>
      </c>
      <c r="B9" s="467" t="s">
        <v>824</v>
      </c>
      <c r="C9" s="467" t="s">
        <v>831</v>
      </c>
      <c r="D9" s="467" t="s">
        <v>447</v>
      </c>
      <c r="E9" s="466" t="s">
        <v>448</v>
      </c>
      <c r="F9" s="466" t="s">
        <v>433</v>
      </c>
      <c r="G9" s="466" t="s">
        <v>824</v>
      </c>
      <c r="H9" s="466" t="s">
        <v>831</v>
      </c>
      <c r="I9" s="466" t="s">
        <v>449</v>
      </c>
      <c r="J9" s="467" t="s">
        <v>448</v>
      </c>
      <c r="K9" s="500"/>
      <c r="L9" s="500"/>
      <c r="M9" s="500"/>
      <c r="N9" s="500"/>
      <c r="O9" s="500"/>
      <c r="P9" s="500"/>
      <c r="Q9" s="500"/>
    </row>
    <row r="10" spans="1:17" ht="15" thickBot="1">
      <c r="A10" s="468"/>
      <c r="B10" s="469" t="s">
        <v>636</v>
      </c>
      <c r="C10" s="469" t="s">
        <v>450</v>
      </c>
      <c r="D10" s="469"/>
      <c r="E10" s="468" t="s">
        <v>451</v>
      </c>
      <c r="F10" s="470"/>
      <c r="G10" s="470" t="s">
        <v>635</v>
      </c>
      <c r="H10" s="470" t="s">
        <v>450</v>
      </c>
      <c r="I10" s="468"/>
      <c r="J10" s="469" t="s">
        <v>451</v>
      </c>
      <c r="K10" s="500"/>
      <c r="L10" s="500"/>
      <c r="M10" s="500"/>
      <c r="N10" s="500"/>
      <c r="O10" s="500"/>
      <c r="P10" s="500"/>
      <c r="Q10" s="500"/>
    </row>
    <row r="11" spans="1:17" ht="14.25">
      <c r="A11" s="471" t="s">
        <v>436</v>
      </c>
      <c r="B11" s="490">
        <f>B12+B13+B14+B15+B16</f>
        <v>0</v>
      </c>
      <c r="C11" s="491">
        <f>C12+C13+C14+C15+C16</f>
        <v>0</v>
      </c>
      <c r="D11" s="492"/>
      <c r="E11" s="493"/>
      <c r="F11" s="475" t="s">
        <v>436</v>
      </c>
      <c r="G11" s="397">
        <v>0</v>
      </c>
      <c r="H11" s="390">
        <v>0</v>
      </c>
      <c r="I11" s="476">
        <f>H11-G11</f>
        <v>0</v>
      </c>
      <c r="J11" s="477">
        <f>(IF(I11=0,"",I11/G11))</f>
      </c>
      <c r="K11" s="500"/>
      <c r="L11" s="500"/>
      <c r="M11" s="500"/>
      <c r="N11" s="500"/>
      <c r="O11" s="500"/>
      <c r="P11" s="500"/>
      <c r="Q11" s="500"/>
    </row>
    <row r="12" spans="1:17" ht="14.25">
      <c r="A12" s="472" t="s">
        <v>437</v>
      </c>
      <c r="B12" s="390">
        <v>0</v>
      </c>
      <c r="C12" s="389">
        <v>0</v>
      </c>
      <c r="D12" s="494">
        <f>C12-B12</f>
        <v>0</v>
      </c>
      <c r="E12" s="481" t="str">
        <f aca="true" t="shared" si="0" ref="E12:E31">(IF(D12=0," ",D12/B12))</f>
        <v> </v>
      </c>
      <c r="F12" s="478" t="s">
        <v>437</v>
      </c>
      <c r="G12" s="479"/>
      <c r="H12" s="479"/>
      <c r="I12" s="480">
        <f>H12-G12</f>
        <v>0</v>
      </c>
      <c r="J12" s="481" t="str">
        <f>(IF(I12=0," ",I12/G12))</f>
        <v> </v>
      </c>
      <c r="K12" s="500"/>
      <c r="L12" s="500"/>
      <c r="M12" s="500"/>
      <c r="N12" s="500"/>
      <c r="O12" s="500"/>
      <c r="P12" s="500"/>
      <c r="Q12" s="500"/>
    </row>
    <row r="13" spans="1:17" ht="14.25">
      <c r="A13" s="472" t="s">
        <v>438</v>
      </c>
      <c r="B13" s="390">
        <v>0</v>
      </c>
      <c r="C13" s="389">
        <v>0</v>
      </c>
      <c r="D13" s="494">
        <f aca="true" t="shared" si="1" ref="D13:D30">C13-B13</f>
        <v>0</v>
      </c>
      <c r="E13" s="481" t="str">
        <f t="shared" si="0"/>
        <v> </v>
      </c>
      <c r="F13" s="478" t="s">
        <v>438</v>
      </c>
      <c r="G13" s="479"/>
      <c r="H13" s="479"/>
      <c r="I13" s="480">
        <f aca="true" t="shared" si="2" ref="I13:I30">H13-G13</f>
        <v>0</v>
      </c>
      <c r="J13" s="481" t="str">
        <f aca="true" t="shared" si="3" ref="J13:J30">(IF(I13=0," ",I13/G13))</f>
        <v> </v>
      </c>
      <c r="K13" s="500"/>
      <c r="L13" s="500"/>
      <c r="M13" s="500"/>
      <c r="N13" s="500"/>
      <c r="O13" s="500"/>
      <c r="P13" s="500"/>
      <c r="Q13" s="500"/>
    </row>
    <row r="14" spans="1:17" ht="14.25">
      <c r="A14" s="472" t="s">
        <v>439</v>
      </c>
      <c r="B14" s="390">
        <v>0</v>
      </c>
      <c r="C14" s="389">
        <v>0</v>
      </c>
      <c r="D14" s="494">
        <f t="shared" si="1"/>
        <v>0</v>
      </c>
      <c r="E14" s="481" t="str">
        <f t="shared" si="0"/>
        <v> </v>
      </c>
      <c r="F14" s="482" t="s">
        <v>439</v>
      </c>
      <c r="G14" s="479"/>
      <c r="H14" s="479"/>
      <c r="I14" s="480">
        <f t="shared" si="2"/>
        <v>0</v>
      </c>
      <c r="J14" s="481" t="str">
        <f t="shared" si="3"/>
        <v> </v>
      </c>
      <c r="K14" s="500"/>
      <c r="L14" s="500"/>
      <c r="M14" s="500"/>
      <c r="N14" s="500"/>
      <c r="O14" s="500"/>
      <c r="P14" s="500"/>
      <c r="Q14" s="500"/>
    </row>
    <row r="15" spans="1:17" ht="14.25">
      <c r="A15" s="472" t="s">
        <v>440</v>
      </c>
      <c r="B15" s="390">
        <v>0</v>
      </c>
      <c r="C15" s="389">
        <v>0</v>
      </c>
      <c r="D15" s="494">
        <f t="shared" si="1"/>
        <v>0</v>
      </c>
      <c r="E15" s="481" t="str">
        <f t="shared" si="0"/>
        <v> </v>
      </c>
      <c r="F15" s="482" t="s">
        <v>440</v>
      </c>
      <c r="G15" s="479"/>
      <c r="H15" s="479"/>
      <c r="I15" s="480">
        <f t="shared" si="2"/>
        <v>0</v>
      </c>
      <c r="J15" s="481" t="str">
        <f t="shared" si="3"/>
        <v> </v>
      </c>
      <c r="K15" s="500"/>
      <c r="L15" s="500"/>
      <c r="M15" s="500"/>
      <c r="N15" s="500"/>
      <c r="O15" s="500"/>
      <c r="P15" s="500"/>
      <c r="Q15" s="500"/>
    </row>
    <row r="16" spans="1:17" ht="14.25">
      <c r="A16" s="472" t="s">
        <v>441</v>
      </c>
      <c r="B16" s="390">
        <v>0</v>
      </c>
      <c r="C16" s="389">
        <v>0</v>
      </c>
      <c r="D16" s="494">
        <f t="shared" si="1"/>
        <v>0</v>
      </c>
      <c r="E16" s="481" t="str">
        <f t="shared" si="0"/>
        <v> </v>
      </c>
      <c r="F16" s="478" t="s">
        <v>441</v>
      </c>
      <c r="G16" s="479"/>
      <c r="H16" s="479"/>
      <c r="I16" s="480">
        <f t="shared" si="2"/>
        <v>0</v>
      </c>
      <c r="J16" s="481" t="str">
        <f t="shared" si="3"/>
        <v> </v>
      </c>
      <c r="K16" s="500"/>
      <c r="L16" s="500"/>
      <c r="M16" s="500"/>
      <c r="N16" s="500"/>
      <c r="O16" s="500"/>
      <c r="P16" s="500"/>
      <c r="Q16" s="500"/>
    </row>
    <row r="17" spans="1:17" ht="16.5" customHeight="1">
      <c r="A17" s="472" t="s">
        <v>144</v>
      </c>
      <c r="B17" s="390">
        <v>0</v>
      </c>
      <c r="C17" s="389">
        <v>0</v>
      </c>
      <c r="D17" s="494">
        <f t="shared" si="1"/>
        <v>0</v>
      </c>
      <c r="E17" s="481" t="str">
        <f t="shared" si="0"/>
        <v> </v>
      </c>
      <c r="F17" s="280" t="s">
        <v>144</v>
      </c>
      <c r="G17" s="397">
        <v>0</v>
      </c>
      <c r="H17" s="390">
        <v>0</v>
      </c>
      <c r="I17" s="483">
        <f t="shared" si="2"/>
        <v>0</v>
      </c>
      <c r="J17" s="481" t="str">
        <f t="shared" si="3"/>
        <v> </v>
      </c>
      <c r="K17" s="500"/>
      <c r="L17" s="500"/>
      <c r="M17" s="500"/>
      <c r="N17" s="500"/>
      <c r="O17" s="500"/>
      <c r="P17" s="500"/>
      <c r="Q17" s="500"/>
    </row>
    <row r="18" spans="1:17" ht="16.5" customHeight="1">
      <c r="A18" s="472" t="s">
        <v>145</v>
      </c>
      <c r="B18" s="390">
        <v>0</v>
      </c>
      <c r="C18" s="389">
        <v>0</v>
      </c>
      <c r="D18" s="494">
        <f t="shared" si="1"/>
        <v>0</v>
      </c>
      <c r="E18" s="481" t="str">
        <f t="shared" si="0"/>
        <v> </v>
      </c>
      <c r="F18" s="281" t="s">
        <v>145</v>
      </c>
      <c r="G18" s="390">
        <v>0</v>
      </c>
      <c r="H18" s="390">
        <v>0</v>
      </c>
      <c r="I18" s="483">
        <f t="shared" si="2"/>
        <v>0</v>
      </c>
      <c r="J18" s="481" t="str">
        <f t="shared" si="3"/>
        <v> </v>
      </c>
      <c r="K18" s="500"/>
      <c r="L18" s="500"/>
      <c r="M18" s="500"/>
      <c r="N18" s="500"/>
      <c r="O18" s="500"/>
      <c r="P18" s="500"/>
      <c r="Q18" s="500"/>
    </row>
    <row r="19" spans="1:17" ht="16.5" customHeight="1">
      <c r="A19" s="472" t="s">
        <v>146</v>
      </c>
      <c r="B19" s="390">
        <v>0</v>
      </c>
      <c r="C19" s="389">
        <v>0</v>
      </c>
      <c r="D19" s="494">
        <f t="shared" si="1"/>
        <v>0</v>
      </c>
      <c r="E19" s="481" t="str">
        <f t="shared" si="0"/>
        <v> </v>
      </c>
      <c r="F19" s="281" t="s">
        <v>146</v>
      </c>
      <c r="G19" s="390">
        <v>0</v>
      </c>
      <c r="H19" s="390">
        <v>0</v>
      </c>
      <c r="I19" s="483">
        <f t="shared" si="2"/>
        <v>0</v>
      </c>
      <c r="J19" s="481" t="str">
        <f t="shared" si="3"/>
        <v> </v>
      </c>
      <c r="K19" s="500"/>
      <c r="L19" s="500"/>
      <c r="M19" s="500"/>
      <c r="N19" s="500"/>
      <c r="O19" s="500"/>
      <c r="P19" s="500"/>
      <c r="Q19" s="500"/>
    </row>
    <row r="20" spans="1:17" ht="16.5" customHeight="1">
      <c r="A20" s="472" t="s">
        <v>442</v>
      </c>
      <c r="B20" s="390">
        <v>0</v>
      </c>
      <c r="C20" s="389">
        <v>0</v>
      </c>
      <c r="D20" s="494">
        <f t="shared" si="1"/>
        <v>0</v>
      </c>
      <c r="E20" s="481" t="str">
        <f t="shared" si="0"/>
        <v> </v>
      </c>
      <c r="F20" s="281" t="s">
        <v>442</v>
      </c>
      <c r="G20" s="390">
        <v>0</v>
      </c>
      <c r="H20" s="390">
        <v>0</v>
      </c>
      <c r="I20" s="483">
        <f t="shared" si="2"/>
        <v>0</v>
      </c>
      <c r="J20" s="481" t="str">
        <f t="shared" si="3"/>
        <v> </v>
      </c>
      <c r="K20" s="500"/>
      <c r="L20" s="500"/>
      <c r="M20" s="500"/>
      <c r="N20" s="500"/>
      <c r="O20" s="500"/>
      <c r="P20" s="500"/>
      <c r="Q20" s="500"/>
    </row>
    <row r="21" spans="1:17" ht="15.75" customHeight="1">
      <c r="A21" s="472" t="s">
        <v>148</v>
      </c>
      <c r="B21" s="390">
        <v>0</v>
      </c>
      <c r="C21" s="389">
        <v>0</v>
      </c>
      <c r="D21" s="494">
        <f t="shared" si="1"/>
        <v>0</v>
      </c>
      <c r="E21" s="481" t="str">
        <f t="shared" si="0"/>
        <v> </v>
      </c>
      <c r="F21" s="281" t="s">
        <v>148</v>
      </c>
      <c r="G21" s="390">
        <v>0</v>
      </c>
      <c r="H21" s="390">
        <v>0</v>
      </c>
      <c r="I21" s="483">
        <f t="shared" si="2"/>
        <v>0</v>
      </c>
      <c r="J21" s="481" t="str">
        <f t="shared" si="3"/>
        <v> </v>
      </c>
      <c r="K21" s="500"/>
      <c r="L21" s="500"/>
      <c r="M21" s="500"/>
      <c r="N21" s="500"/>
      <c r="O21" s="500"/>
      <c r="P21" s="500"/>
      <c r="Q21" s="500"/>
    </row>
    <row r="22" spans="1:17" ht="15.75" customHeight="1">
      <c r="A22" s="472" t="s">
        <v>443</v>
      </c>
      <c r="B22" s="390">
        <v>0</v>
      </c>
      <c r="C22" s="389">
        <v>0</v>
      </c>
      <c r="D22" s="494">
        <f t="shared" si="1"/>
        <v>0</v>
      </c>
      <c r="E22" s="481" t="str">
        <f t="shared" si="0"/>
        <v> </v>
      </c>
      <c r="F22" s="281" t="s">
        <v>443</v>
      </c>
      <c r="G22" s="390">
        <v>0</v>
      </c>
      <c r="H22" s="390">
        <v>0</v>
      </c>
      <c r="I22" s="483">
        <f t="shared" si="2"/>
        <v>0</v>
      </c>
      <c r="J22" s="481" t="str">
        <f t="shared" si="3"/>
        <v> </v>
      </c>
      <c r="K22" s="500"/>
      <c r="L22" s="500"/>
      <c r="M22" s="500"/>
      <c r="N22" s="500"/>
      <c r="O22" s="500"/>
      <c r="P22" s="500"/>
      <c r="Q22" s="500"/>
    </row>
    <row r="23" spans="1:17" ht="15.75" customHeight="1">
      <c r="A23" s="472" t="s">
        <v>150</v>
      </c>
      <c r="B23" s="390">
        <v>0</v>
      </c>
      <c r="C23" s="389">
        <v>0</v>
      </c>
      <c r="D23" s="494">
        <f t="shared" si="1"/>
        <v>0</v>
      </c>
      <c r="E23" s="481" t="str">
        <f t="shared" si="0"/>
        <v> </v>
      </c>
      <c r="F23" s="281" t="s">
        <v>150</v>
      </c>
      <c r="G23" s="390">
        <v>0</v>
      </c>
      <c r="H23" s="390">
        <v>0</v>
      </c>
      <c r="I23" s="483">
        <f t="shared" si="2"/>
        <v>0</v>
      </c>
      <c r="J23" s="481" t="str">
        <f t="shared" si="3"/>
        <v> </v>
      </c>
      <c r="K23" s="500"/>
      <c r="L23" s="500"/>
      <c r="M23" s="500"/>
      <c r="N23" s="500"/>
      <c r="O23" s="500"/>
      <c r="P23" s="500"/>
      <c r="Q23" s="500"/>
    </row>
    <row r="24" spans="1:17" ht="16.5" customHeight="1">
      <c r="A24" s="472" t="s">
        <v>444</v>
      </c>
      <c r="B24" s="390">
        <v>0</v>
      </c>
      <c r="C24" s="389">
        <v>0</v>
      </c>
      <c r="D24" s="494">
        <f t="shared" si="1"/>
        <v>0</v>
      </c>
      <c r="E24" s="481" t="str">
        <f t="shared" si="0"/>
        <v> </v>
      </c>
      <c r="F24" s="281" t="s">
        <v>444</v>
      </c>
      <c r="G24" s="390">
        <v>0</v>
      </c>
      <c r="H24" s="390">
        <v>0</v>
      </c>
      <c r="I24" s="483">
        <f t="shared" si="2"/>
        <v>0</v>
      </c>
      <c r="J24" s="481" t="str">
        <f t="shared" si="3"/>
        <v> </v>
      </c>
      <c r="K24" s="500"/>
      <c r="L24" s="500"/>
      <c r="M24" s="500"/>
      <c r="N24" s="500"/>
      <c r="O24" s="500"/>
      <c r="P24" s="500"/>
      <c r="Q24" s="500"/>
    </row>
    <row r="25" spans="1:17" ht="14.25">
      <c r="A25" s="472" t="s">
        <v>464</v>
      </c>
      <c r="B25" s="390">
        <v>0</v>
      </c>
      <c r="C25" s="389">
        <v>0</v>
      </c>
      <c r="D25" s="494">
        <f t="shared" si="1"/>
        <v>0</v>
      </c>
      <c r="E25" s="481" t="str">
        <f t="shared" si="0"/>
        <v> </v>
      </c>
      <c r="F25" s="281" t="s">
        <v>464</v>
      </c>
      <c r="G25" s="390">
        <v>0</v>
      </c>
      <c r="H25" s="390">
        <v>0</v>
      </c>
      <c r="I25" s="483">
        <f t="shared" si="2"/>
        <v>0</v>
      </c>
      <c r="J25" s="481" t="str">
        <f t="shared" si="3"/>
        <v> </v>
      </c>
      <c r="K25" s="500"/>
      <c r="L25" s="500"/>
      <c r="M25" s="500"/>
      <c r="N25" s="500"/>
      <c r="O25" s="500"/>
      <c r="P25" s="500"/>
      <c r="Q25" s="500"/>
    </row>
    <row r="26" spans="1:17" ht="15.75" customHeight="1">
      <c r="A26" s="472" t="s">
        <v>247</v>
      </c>
      <c r="B26" s="390">
        <v>0</v>
      </c>
      <c r="C26" s="389">
        <v>0</v>
      </c>
      <c r="D26" s="494">
        <f t="shared" si="1"/>
        <v>0</v>
      </c>
      <c r="E26" s="481" t="str">
        <f t="shared" si="0"/>
        <v> </v>
      </c>
      <c r="F26" s="281" t="s">
        <v>247</v>
      </c>
      <c r="G26" s="390">
        <v>0</v>
      </c>
      <c r="H26" s="390">
        <v>0</v>
      </c>
      <c r="I26" s="483">
        <f t="shared" si="2"/>
        <v>0</v>
      </c>
      <c r="J26" s="481" t="str">
        <f t="shared" si="3"/>
        <v> </v>
      </c>
      <c r="K26" s="500"/>
      <c r="L26" s="500"/>
      <c r="M26" s="500"/>
      <c r="N26" s="500"/>
      <c r="O26" s="500"/>
      <c r="P26" s="500"/>
      <c r="Q26" s="500"/>
    </row>
    <row r="27" spans="1:17" ht="14.25">
      <c r="A27" s="472" t="s">
        <v>151</v>
      </c>
      <c r="B27" s="390">
        <v>0</v>
      </c>
      <c r="C27" s="389">
        <v>0</v>
      </c>
      <c r="D27" s="494">
        <f t="shared" si="1"/>
        <v>0</v>
      </c>
      <c r="E27" s="481" t="str">
        <f t="shared" si="0"/>
        <v> </v>
      </c>
      <c r="F27" s="281" t="s">
        <v>151</v>
      </c>
      <c r="G27" s="390">
        <v>0</v>
      </c>
      <c r="H27" s="390">
        <v>0</v>
      </c>
      <c r="I27" s="483">
        <f t="shared" si="2"/>
        <v>0</v>
      </c>
      <c r="J27" s="481" t="str">
        <f t="shared" si="3"/>
        <v> </v>
      </c>
      <c r="K27" s="500"/>
      <c r="L27" s="500"/>
      <c r="M27" s="500"/>
      <c r="N27" s="500"/>
      <c r="O27" s="500"/>
      <c r="P27" s="500"/>
      <c r="Q27" s="500"/>
    </row>
    <row r="28" spans="1:17" ht="15.75" customHeight="1">
      <c r="A28" s="472" t="s">
        <v>461</v>
      </c>
      <c r="B28" s="390">
        <v>0</v>
      </c>
      <c r="C28" s="389">
        <v>0</v>
      </c>
      <c r="D28" s="494">
        <f t="shared" si="1"/>
        <v>0</v>
      </c>
      <c r="E28" s="481" t="str">
        <f t="shared" si="0"/>
        <v> </v>
      </c>
      <c r="F28" s="281" t="s">
        <v>461</v>
      </c>
      <c r="G28" s="390">
        <v>0</v>
      </c>
      <c r="H28" s="390">
        <v>0</v>
      </c>
      <c r="I28" s="483">
        <f t="shared" si="2"/>
        <v>0</v>
      </c>
      <c r="J28" s="481" t="str">
        <f t="shared" si="3"/>
        <v> </v>
      </c>
      <c r="K28" s="500"/>
      <c r="L28" s="500"/>
      <c r="M28" s="500"/>
      <c r="N28" s="500"/>
      <c r="O28" s="500"/>
      <c r="P28" s="500"/>
      <c r="Q28" s="500"/>
    </row>
    <row r="29" spans="1:17" ht="16.5" customHeight="1">
      <c r="A29" s="472" t="s">
        <v>537</v>
      </c>
      <c r="B29" s="390">
        <v>0</v>
      </c>
      <c r="C29" s="389">
        <v>0</v>
      </c>
      <c r="D29" s="494">
        <f t="shared" si="1"/>
        <v>0</v>
      </c>
      <c r="E29" s="481" t="str">
        <f t="shared" si="0"/>
        <v> </v>
      </c>
      <c r="F29" s="281" t="s">
        <v>537</v>
      </c>
      <c r="G29" s="390">
        <v>0</v>
      </c>
      <c r="H29" s="390">
        <v>0</v>
      </c>
      <c r="I29" s="483">
        <f t="shared" si="2"/>
        <v>0</v>
      </c>
      <c r="J29" s="481" t="str">
        <f t="shared" si="3"/>
        <v> </v>
      </c>
      <c r="K29" s="500"/>
      <c r="L29" s="500"/>
      <c r="M29" s="500"/>
      <c r="N29" s="500"/>
      <c r="O29" s="500"/>
      <c r="P29" s="500"/>
      <c r="Q29" s="500"/>
    </row>
    <row r="30" spans="1:17" ht="16.5" customHeight="1" thickBot="1">
      <c r="A30" s="472" t="s">
        <v>153</v>
      </c>
      <c r="B30" s="390">
        <v>0</v>
      </c>
      <c r="C30" s="389">
        <v>0</v>
      </c>
      <c r="D30" s="494">
        <f t="shared" si="1"/>
        <v>0</v>
      </c>
      <c r="E30" s="481" t="str">
        <f t="shared" si="0"/>
        <v> </v>
      </c>
      <c r="F30" s="281" t="s">
        <v>153</v>
      </c>
      <c r="G30" s="390">
        <v>0</v>
      </c>
      <c r="H30" s="390">
        <v>0</v>
      </c>
      <c r="I30" s="483">
        <f t="shared" si="2"/>
        <v>0</v>
      </c>
      <c r="J30" s="484" t="str">
        <f t="shared" si="3"/>
        <v> </v>
      </c>
      <c r="K30" s="500"/>
      <c r="L30" s="500"/>
      <c r="M30" s="500"/>
      <c r="N30" s="500"/>
      <c r="O30" s="500"/>
      <c r="P30" s="500"/>
      <c r="Q30" s="500"/>
    </row>
    <row r="31" spans="1:17" ht="14.25">
      <c r="A31" s="473"/>
      <c r="B31" s="495"/>
      <c r="C31" s="496"/>
      <c r="D31" s="495"/>
      <c r="E31" s="473" t="str">
        <f t="shared" si="0"/>
        <v> </v>
      </c>
      <c r="F31" s="279"/>
      <c r="G31" s="473"/>
      <c r="H31" s="488"/>
      <c r="I31" s="473"/>
      <c r="J31" s="485"/>
      <c r="K31" s="500"/>
      <c r="L31" s="500"/>
      <c r="M31" s="500"/>
      <c r="N31" s="500"/>
      <c r="O31" s="500"/>
      <c r="P31" s="500"/>
      <c r="Q31" s="500"/>
    </row>
    <row r="32" spans="1:17" ht="15.75" thickBot="1">
      <c r="A32" s="474" t="s">
        <v>445</v>
      </c>
      <c r="B32" s="486">
        <f>SUM(B12:B30)</f>
        <v>0</v>
      </c>
      <c r="C32" s="497">
        <f>SUM(C12:C30)</f>
        <v>0</v>
      </c>
      <c r="D32" s="489">
        <f>SUM(D12:D31)</f>
        <v>0</v>
      </c>
      <c r="E32" s="487" t="str">
        <f>IF(D32=0," ",D32/B32)</f>
        <v> </v>
      </c>
      <c r="F32" s="282" t="s">
        <v>445</v>
      </c>
      <c r="G32" s="486">
        <f>SUM(G11,G12:G30)</f>
        <v>0</v>
      </c>
      <c r="H32" s="489">
        <f>SUM(H11,H12:H30)</f>
        <v>0</v>
      </c>
      <c r="I32" s="486">
        <f>SUM(I11,I12:I30)</f>
        <v>0</v>
      </c>
      <c r="J32" s="487" t="str">
        <f>(IF(I32=0," ",I32/G32))</f>
        <v> </v>
      </c>
      <c r="K32" s="500"/>
      <c r="L32" s="500"/>
      <c r="M32" s="500"/>
      <c r="N32" s="500"/>
      <c r="O32" s="500"/>
      <c r="P32" s="500"/>
      <c r="Q32" s="500"/>
    </row>
    <row r="33" spans="1:17" ht="15" thickBot="1">
      <c r="A33" s="498"/>
      <c r="B33" s="498"/>
      <c r="C33" s="498"/>
      <c r="D33" s="498"/>
      <c r="E33" s="498"/>
      <c r="F33" s="498"/>
      <c r="G33" s="498"/>
      <c r="H33" s="498"/>
      <c r="I33" s="498"/>
      <c r="J33" s="498"/>
      <c r="K33" s="500"/>
      <c r="L33" s="500"/>
      <c r="M33" s="500"/>
      <c r="N33" s="500"/>
      <c r="O33" s="500"/>
      <c r="P33" s="500"/>
      <c r="Q33" s="500"/>
    </row>
    <row r="34" spans="1:17" ht="15.75" thickBot="1">
      <c r="A34" s="499" t="s">
        <v>445</v>
      </c>
      <c r="B34" s="569">
        <f>SUM(C32+H32)</f>
        <v>0</v>
      </c>
      <c r="C34" s="498"/>
      <c r="D34" s="498"/>
      <c r="E34" s="498"/>
      <c r="F34" s="499" t="s">
        <v>452</v>
      </c>
      <c r="G34" s="498"/>
      <c r="H34" s="498"/>
      <c r="I34" s="498"/>
      <c r="J34" s="498"/>
      <c r="K34" s="500"/>
      <c r="L34" s="500"/>
      <c r="M34" s="500"/>
      <c r="N34" s="500"/>
      <c r="O34" s="500"/>
      <c r="P34" s="500"/>
      <c r="Q34" s="500"/>
    </row>
    <row r="35" spans="1:17" ht="15.75" thickBot="1">
      <c r="A35" s="499" t="s">
        <v>801</v>
      </c>
      <c r="B35" s="570">
        <f>C32+H32</f>
        <v>0</v>
      </c>
      <c r="C35" s="498"/>
      <c r="D35" s="498"/>
      <c r="E35" s="498"/>
      <c r="F35" s="499" t="s">
        <v>447</v>
      </c>
      <c r="G35" s="570">
        <f>B36-B35</f>
        <v>0</v>
      </c>
      <c r="H35" s="500"/>
      <c r="I35" s="571" t="str">
        <f>(IF(B36=0," ",G35/B36))</f>
        <v> </v>
      </c>
      <c r="J35" s="498"/>
      <c r="K35" s="500"/>
      <c r="L35" s="500"/>
      <c r="M35" s="500"/>
      <c r="N35" s="500"/>
      <c r="O35" s="500"/>
      <c r="P35" s="500"/>
      <c r="Q35" s="500"/>
    </row>
    <row r="36" spans="1:17" ht="15.75" thickBot="1">
      <c r="A36" s="499" t="s">
        <v>802</v>
      </c>
      <c r="B36" s="501">
        <v>0</v>
      </c>
      <c r="C36" s="498"/>
      <c r="D36" s="498"/>
      <c r="E36" s="498"/>
      <c r="F36" s="498"/>
      <c r="G36" s="498"/>
      <c r="H36" s="498"/>
      <c r="I36" s="498"/>
      <c r="J36" s="498"/>
      <c r="K36" s="500"/>
      <c r="L36" s="500"/>
      <c r="M36" s="500"/>
      <c r="N36" s="500"/>
      <c r="O36" s="500"/>
      <c r="P36" s="500"/>
      <c r="Q36" s="500"/>
    </row>
    <row r="37" spans="1:17" ht="14.25">
      <c r="A37" s="498"/>
      <c r="B37" s="498"/>
      <c r="C37" s="500"/>
      <c r="D37" s="500"/>
      <c r="E37" s="500"/>
      <c r="F37" s="500"/>
      <c r="G37" s="500"/>
      <c r="H37" s="500"/>
      <c r="I37" s="500"/>
      <c r="J37" s="500"/>
      <c r="K37" s="500"/>
      <c r="L37" s="500"/>
      <c r="M37" s="500"/>
      <c r="N37" s="500"/>
      <c r="O37" s="500"/>
      <c r="P37" s="500"/>
      <c r="Q37" s="500"/>
    </row>
    <row r="38" spans="1:17" ht="12.75">
      <c r="A38" s="500"/>
      <c r="B38" s="500"/>
      <c r="C38" s="500"/>
      <c r="D38" s="500"/>
      <c r="E38" s="500"/>
      <c r="F38" s="500"/>
      <c r="G38" s="500"/>
      <c r="H38" s="500"/>
      <c r="I38" s="500"/>
      <c r="J38" s="500"/>
      <c r="K38" s="500"/>
      <c r="L38" s="500"/>
      <c r="M38" s="500"/>
      <c r="N38" s="500"/>
      <c r="O38" s="500"/>
      <c r="P38" s="500"/>
      <c r="Q38" s="500"/>
    </row>
    <row r="39" spans="1:17" ht="12.75">
      <c r="A39" s="500"/>
      <c r="B39" s="500"/>
      <c r="C39" s="500"/>
      <c r="D39" s="500"/>
      <c r="E39" s="500"/>
      <c r="F39" s="500"/>
      <c r="G39" s="500"/>
      <c r="H39" s="500"/>
      <c r="I39" s="500"/>
      <c r="J39" s="500"/>
      <c r="K39" s="500"/>
      <c r="L39" s="500"/>
      <c r="M39" s="500"/>
      <c r="N39" s="500"/>
      <c r="O39" s="500"/>
      <c r="P39" s="500"/>
      <c r="Q39" s="500"/>
    </row>
    <row r="40" spans="1:17" ht="12.75">
      <c r="A40" s="500"/>
      <c r="B40" s="500"/>
      <c r="C40" s="500"/>
      <c r="D40" s="500"/>
      <c r="E40" s="500"/>
      <c r="F40" s="500"/>
      <c r="G40" s="500"/>
      <c r="H40" s="500"/>
      <c r="I40" s="500"/>
      <c r="J40" s="500"/>
      <c r="K40" s="500"/>
      <c r="L40" s="500"/>
      <c r="M40" s="500"/>
      <c r="N40" s="500"/>
      <c r="O40" s="500"/>
      <c r="P40" s="500"/>
      <c r="Q40" s="500"/>
    </row>
    <row r="41" spans="1:17" ht="12.75">
      <c r="A41" s="500"/>
      <c r="B41" s="500"/>
      <c r="C41" s="500"/>
      <c r="D41" s="500"/>
      <c r="E41" s="500"/>
      <c r="F41" s="500"/>
      <c r="G41" s="500"/>
      <c r="H41" s="500"/>
      <c r="I41" s="500"/>
      <c r="J41" s="500"/>
      <c r="K41" s="500"/>
      <c r="L41" s="500"/>
      <c r="M41" s="500"/>
      <c r="N41" s="500"/>
      <c r="O41" s="500"/>
      <c r="P41" s="500"/>
      <c r="Q41" s="500"/>
    </row>
    <row r="42" spans="1:17" ht="12.75">
      <c r="A42" s="500"/>
      <c r="B42" s="500"/>
      <c r="C42" s="500"/>
      <c r="D42" s="500"/>
      <c r="E42" s="500"/>
      <c r="F42" s="500"/>
      <c r="G42" s="500"/>
      <c r="H42" s="500"/>
      <c r="I42" s="500"/>
      <c r="J42" s="500"/>
      <c r="K42" s="500"/>
      <c r="L42" s="500"/>
      <c r="M42" s="500"/>
      <c r="N42" s="500"/>
      <c r="O42" s="500"/>
      <c r="P42" s="500"/>
      <c r="Q42" s="500"/>
    </row>
    <row r="43" spans="1:17" ht="12.75">
      <c r="A43" s="500"/>
      <c r="B43" s="500"/>
      <c r="C43" s="500"/>
      <c r="D43" s="500"/>
      <c r="E43" s="500"/>
      <c r="F43" s="500"/>
      <c r="G43" s="500"/>
      <c r="H43" s="500"/>
      <c r="I43" s="500"/>
      <c r="J43" s="500"/>
      <c r="K43" s="500"/>
      <c r="L43" s="500"/>
      <c r="M43" s="500"/>
      <c r="N43" s="500"/>
      <c r="O43" s="500"/>
      <c r="P43" s="500"/>
      <c r="Q43" s="500"/>
    </row>
    <row r="44" spans="1:17" ht="12.75">
      <c r="A44" s="500"/>
      <c r="B44" s="500"/>
      <c r="C44" s="500"/>
      <c r="D44" s="500"/>
      <c r="E44" s="500"/>
      <c r="F44" s="500"/>
      <c r="G44" s="500"/>
      <c r="H44" s="500"/>
      <c r="I44" s="500"/>
      <c r="J44" s="500"/>
      <c r="K44" s="500"/>
      <c r="L44" s="500"/>
      <c r="M44" s="500"/>
      <c r="N44" s="500"/>
      <c r="O44" s="500"/>
      <c r="P44" s="500"/>
      <c r="Q44" s="500"/>
    </row>
    <row r="45" spans="1:17" ht="12.75">
      <c r="A45" s="500"/>
      <c r="B45" s="500"/>
      <c r="C45" s="500"/>
      <c r="D45" s="500"/>
      <c r="E45" s="500"/>
      <c r="F45" s="500"/>
      <c r="G45" s="500"/>
      <c r="H45" s="500"/>
      <c r="I45" s="500"/>
      <c r="J45" s="500"/>
      <c r="K45" s="500"/>
      <c r="L45" s="500"/>
      <c r="M45" s="500"/>
      <c r="N45" s="500"/>
      <c r="O45" s="500"/>
      <c r="P45" s="500"/>
      <c r="Q45" s="500"/>
    </row>
    <row r="46" spans="1:17" ht="12.75">
      <c r="A46" s="500"/>
      <c r="B46" s="500"/>
      <c r="C46" s="500"/>
      <c r="D46" s="500"/>
      <c r="E46" s="500"/>
      <c r="F46" s="500"/>
      <c r="G46" s="500"/>
      <c r="H46" s="500"/>
      <c r="I46" s="500"/>
      <c r="J46" s="500"/>
      <c r="K46" s="500"/>
      <c r="L46" s="500"/>
      <c r="M46" s="500"/>
      <c r="N46" s="500"/>
      <c r="O46" s="500"/>
      <c r="P46" s="500"/>
      <c r="Q46" s="500"/>
    </row>
    <row r="47" spans="1:17" ht="12.75">
      <c r="A47" s="500"/>
      <c r="B47" s="500"/>
      <c r="C47" s="500"/>
      <c r="D47" s="500"/>
      <c r="E47" s="500"/>
      <c r="F47" s="500"/>
      <c r="G47" s="500"/>
      <c r="H47" s="500"/>
      <c r="I47" s="500"/>
      <c r="J47" s="500"/>
      <c r="K47" s="500"/>
      <c r="L47" s="500"/>
      <c r="M47" s="500"/>
      <c r="N47" s="500"/>
      <c r="O47" s="500"/>
      <c r="P47" s="500"/>
      <c r="Q47" s="500"/>
    </row>
    <row r="48" spans="1:17" ht="12.75">
      <c r="A48" s="500"/>
      <c r="B48" s="500"/>
      <c r="C48" s="500"/>
      <c r="D48" s="500"/>
      <c r="E48" s="500"/>
      <c r="F48" s="500"/>
      <c r="G48" s="500"/>
      <c r="H48" s="500"/>
      <c r="I48" s="500"/>
      <c r="J48" s="500"/>
      <c r="K48" s="500"/>
      <c r="L48" s="500"/>
      <c r="M48" s="500"/>
      <c r="N48" s="500"/>
      <c r="O48" s="500"/>
      <c r="P48" s="500"/>
      <c r="Q48" s="500"/>
    </row>
    <row r="49" spans="1:17" ht="12.75">
      <c r="A49" s="500"/>
      <c r="B49" s="500"/>
      <c r="C49" s="500"/>
      <c r="D49" s="500"/>
      <c r="E49" s="500"/>
      <c r="F49" s="500"/>
      <c r="G49" s="500"/>
      <c r="H49" s="500"/>
      <c r="I49" s="500"/>
      <c r="J49" s="500"/>
      <c r="K49" s="500"/>
      <c r="L49" s="500"/>
      <c r="M49" s="500"/>
      <c r="N49" s="500"/>
      <c r="O49" s="500"/>
      <c r="P49" s="500"/>
      <c r="Q49" s="500"/>
    </row>
    <row r="50" spans="1:17" ht="12.75">
      <c r="A50" s="500"/>
      <c r="B50" s="500"/>
      <c r="C50" s="500"/>
      <c r="D50" s="500"/>
      <c r="E50" s="500"/>
      <c r="F50" s="500"/>
      <c r="G50" s="500"/>
      <c r="H50" s="500"/>
      <c r="I50" s="500"/>
      <c r="J50" s="500"/>
      <c r="K50" s="500"/>
      <c r="L50" s="500"/>
      <c r="M50" s="500"/>
      <c r="N50" s="500"/>
      <c r="O50" s="500"/>
      <c r="P50" s="500"/>
      <c r="Q50" s="500"/>
    </row>
    <row r="51" spans="1:17" ht="12.75">
      <c r="A51" s="500"/>
      <c r="B51" s="500"/>
      <c r="C51" s="500"/>
      <c r="D51" s="500"/>
      <c r="E51" s="500"/>
      <c r="F51" s="500"/>
      <c r="G51" s="500"/>
      <c r="H51" s="500"/>
      <c r="I51" s="500"/>
      <c r="J51" s="500"/>
      <c r="K51" s="500"/>
      <c r="L51" s="500"/>
      <c r="M51" s="500"/>
      <c r="N51" s="500"/>
      <c r="O51" s="500"/>
      <c r="P51" s="500"/>
      <c r="Q51" s="500"/>
    </row>
    <row r="52" spans="1:17" ht="12.75">
      <c r="A52" s="500"/>
      <c r="B52" s="500"/>
      <c r="C52" s="500"/>
      <c r="D52" s="500"/>
      <c r="E52" s="500"/>
      <c r="F52" s="500"/>
      <c r="G52" s="500"/>
      <c r="H52" s="500"/>
      <c r="I52" s="500"/>
      <c r="J52" s="500"/>
      <c r="K52" s="500"/>
      <c r="L52" s="500"/>
      <c r="M52" s="500"/>
      <c r="N52" s="500"/>
      <c r="O52" s="500"/>
      <c r="P52" s="500"/>
      <c r="Q52" s="500"/>
    </row>
    <row r="53" spans="1:17" ht="12.75">
      <c r="A53" s="500"/>
      <c r="B53" s="500"/>
      <c r="C53" s="500"/>
      <c r="D53" s="500"/>
      <c r="E53" s="500"/>
      <c r="F53" s="500"/>
      <c r="G53" s="500"/>
      <c r="H53" s="500"/>
      <c r="I53" s="500"/>
      <c r="J53" s="500"/>
      <c r="K53" s="500"/>
      <c r="L53" s="500"/>
      <c r="M53" s="500"/>
      <c r="N53" s="500"/>
      <c r="O53" s="500"/>
      <c r="P53" s="500"/>
      <c r="Q53" s="500"/>
    </row>
    <row r="54" spans="1:17" ht="12.75">
      <c r="A54" s="500"/>
      <c r="B54" s="500"/>
      <c r="C54" s="500"/>
      <c r="D54" s="500"/>
      <c r="E54" s="500"/>
      <c r="F54" s="500"/>
      <c r="G54" s="500"/>
      <c r="H54" s="500"/>
      <c r="I54" s="500"/>
      <c r="J54" s="500"/>
      <c r="K54" s="500"/>
      <c r="L54" s="500"/>
      <c r="M54" s="500"/>
      <c r="N54" s="500"/>
      <c r="O54" s="500"/>
      <c r="P54" s="500"/>
      <c r="Q54" s="500"/>
    </row>
    <row r="55" spans="1:17" ht="12.75">
      <c r="A55" s="500"/>
      <c r="B55" s="500"/>
      <c r="C55" s="500"/>
      <c r="D55" s="500"/>
      <c r="E55" s="500"/>
      <c r="F55" s="500"/>
      <c r="G55" s="500"/>
      <c r="H55" s="500"/>
      <c r="I55" s="500"/>
      <c r="J55" s="500"/>
      <c r="K55" s="500"/>
      <c r="L55" s="500"/>
      <c r="M55" s="500"/>
      <c r="N55" s="500"/>
      <c r="O55" s="500"/>
      <c r="P55" s="500"/>
      <c r="Q55" s="500"/>
    </row>
    <row r="56" spans="1:17" ht="12.75">
      <c r="A56" s="500"/>
      <c r="B56" s="500"/>
      <c r="C56" s="500"/>
      <c r="D56" s="500"/>
      <c r="E56" s="500"/>
      <c r="F56" s="500"/>
      <c r="G56" s="500"/>
      <c r="H56" s="500"/>
      <c r="I56" s="500"/>
      <c r="J56" s="500"/>
      <c r="K56" s="500"/>
      <c r="L56" s="500"/>
      <c r="M56" s="500"/>
      <c r="N56" s="500"/>
      <c r="O56" s="500"/>
      <c r="P56" s="500"/>
      <c r="Q56" s="500"/>
    </row>
    <row r="57" spans="1:17" ht="12.75">
      <c r="A57" s="500"/>
      <c r="B57" s="500"/>
      <c r="C57" s="500"/>
      <c r="D57" s="500"/>
      <c r="E57" s="500"/>
      <c r="F57" s="500"/>
      <c r="G57" s="500"/>
      <c r="H57" s="500"/>
      <c r="I57" s="500"/>
      <c r="J57" s="500"/>
      <c r="K57" s="500"/>
      <c r="L57" s="500"/>
      <c r="M57" s="500"/>
      <c r="N57" s="500"/>
      <c r="O57" s="500"/>
      <c r="P57" s="500"/>
      <c r="Q57" s="500"/>
    </row>
    <row r="58" spans="1:17" ht="12.75">
      <c r="A58" s="500"/>
      <c r="B58" s="500"/>
      <c r="C58" s="500"/>
      <c r="D58" s="500"/>
      <c r="E58" s="500"/>
      <c r="F58" s="500"/>
      <c r="G58" s="500"/>
      <c r="H58" s="500"/>
      <c r="I58" s="500"/>
      <c r="J58" s="500"/>
      <c r="K58" s="500"/>
      <c r="L58" s="500"/>
      <c r="M58" s="500"/>
      <c r="N58" s="500"/>
      <c r="O58" s="500"/>
      <c r="P58" s="500"/>
      <c r="Q58" s="500"/>
    </row>
    <row r="59" spans="1:17" ht="12.75">
      <c r="A59" s="500"/>
      <c r="B59" s="500"/>
      <c r="C59" s="500"/>
      <c r="D59" s="500"/>
      <c r="E59" s="500"/>
      <c r="F59" s="500"/>
      <c r="G59" s="500"/>
      <c r="H59" s="500"/>
      <c r="I59" s="500"/>
      <c r="J59" s="500"/>
      <c r="K59" s="500"/>
      <c r="L59" s="500"/>
      <c r="M59" s="500"/>
      <c r="N59" s="500"/>
      <c r="O59" s="500"/>
      <c r="P59" s="500"/>
      <c r="Q59" s="500"/>
    </row>
    <row r="60" spans="1:17" ht="12.75">
      <c r="A60" s="500"/>
      <c r="B60" s="500"/>
      <c r="C60" s="500"/>
      <c r="D60" s="500"/>
      <c r="E60" s="500"/>
      <c r="F60" s="500"/>
      <c r="G60" s="500"/>
      <c r="H60" s="500"/>
      <c r="I60" s="500"/>
      <c r="J60" s="500"/>
      <c r="K60" s="500"/>
      <c r="L60" s="500"/>
      <c r="M60" s="500"/>
      <c r="N60" s="500"/>
      <c r="O60" s="500"/>
      <c r="P60" s="500"/>
      <c r="Q60" s="500"/>
    </row>
    <row r="61" spans="1:17" ht="12.75">
      <c r="A61" s="500"/>
      <c r="B61" s="500"/>
      <c r="C61" s="500"/>
      <c r="D61" s="500"/>
      <c r="E61" s="500"/>
      <c r="F61" s="500"/>
      <c r="G61" s="500"/>
      <c r="H61" s="500"/>
      <c r="I61" s="500"/>
      <c r="J61" s="500"/>
      <c r="K61" s="500"/>
      <c r="L61" s="500"/>
      <c r="M61" s="500"/>
      <c r="N61" s="500"/>
      <c r="O61" s="500"/>
      <c r="P61" s="500"/>
      <c r="Q61" s="500"/>
    </row>
    <row r="62" spans="1:17" ht="12.75">
      <c r="A62" s="500"/>
      <c r="B62" s="500"/>
      <c r="C62" s="500"/>
      <c r="D62" s="500"/>
      <c r="E62" s="500"/>
      <c r="F62" s="500"/>
      <c r="G62" s="500"/>
      <c r="H62" s="500"/>
      <c r="I62" s="500"/>
      <c r="J62" s="500"/>
      <c r="K62" s="500"/>
      <c r="L62" s="500"/>
      <c r="M62" s="500"/>
      <c r="N62" s="500"/>
      <c r="O62" s="500"/>
      <c r="P62" s="500"/>
      <c r="Q62" s="500"/>
    </row>
    <row r="63" spans="1:17" ht="12.75">
      <c r="A63" s="500"/>
      <c r="B63" s="500"/>
      <c r="C63" s="500"/>
      <c r="D63" s="500"/>
      <c r="E63" s="500"/>
      <c r="F63" s="500"/>
      <c r="G63" s="500"/>
      <c r="H63" s="500"/>
      <c r="I63" s="500"/>
      <c r="J63" s="500"/>
      <c r="K63" s="500"/>
      <c r="L63" s="500"/>
      <c r="M63" s="500"/>
      <c r="N63" s="500"/>
      <c r="O63" s="500"/>
      <c r="P63" s="500"/>
      <c r="Q63" s="500"/>
    </row>
    <row r="64" spans="1:17" ht="12.75">
      <c r="A64" s="500"/>
      <c r="B64" s="500"/>
      <c r="C64" s="500"/>
      <c r="D64" s="500"/>
      <c r="E64" s="500"/>
      <c r="F64" s="500"/>
      <c r="G64" s="500"/>
      <c r="H64" s="500"/>
      <c r="I64" s="500"/>
      <c r="J64" s="500"/>
      <c r="K64" s="500"/>
      <c r="L64" s="500"/>
      <c r="M64" s="500"/>
      <c r="N64" s="500"/>
      <c r="O64" s="500"/>
      <c r="P64" s="500"/>
      <c r="Q64" s="500"/>
    </row>
    <row r="65" spans="1:17" ht="12.75">
      <c r="A65" s="500"/>
      <c r="B65" s="500"/>
      <c r="C65" s="500"/>
      <c r="D65" s="500"/>
      <c r="E65" s="500"/>
      <c r="F65" s="500"/>
      <c r="G65" s="500"/>
      <c r="H65" s="500"/>
      <c r="I65" s="500"/>
      <c r="J65" s="500"/>
      <c r="K65" s="500"/>
      <c r="L65" s="500"/>
      <c r="M65" s="500"/>
      <c r="N65" s="500"/>
      <c r="O65" s="500"/>
      <c r="P65" s="500"/>
      <c r="Q65" s="500"/>
    </row>
    <row r="66" spans="1:17" ht="12.75">
      <c r="A66" s="500"/>
      <c r="B66" s="500"/>
      <c r="C66" s="500"/>
      <c r="D66" s="500"/>
      <c r="E66" s="500"/>
      <c r="F66" s="500"/>
      <c r="G66" s="500"/>
      <c r="H66" s="500"/>
      <c r="I66" s="500"/>
      <c r="J66" s="500"/>
      <c r="K66" s="500"/>
      <c r="L66" s="500"/>
      <c r="M66" s="500"/>
      <c r="N66" s="500"/>
      <c r="O66" s="500"/>
      <c r="P66" s="500"/>
      <c r="Q66" s="500"/>
    </row>
    <row r="67" spans="1:17" ht="12.75">
      <c r="A67" s="500"/>
      <c r="B67" s="500"/>
      <c r="C67" s="500"/>
      <c r="D67" s="500"/>
      <c r="E67" s="500"/>
      <c r="F67" s="500"/>
      <c r="G67" s="500"/>
      <c r="H67" s="500"/>
      <c r="I67" s="500"/>
      <c r="J67" s="500"/>
      <c r="K67" s="500"/>
      <c r="L67" s="500"/>
      <c r="M67" s="500"/>
      <c r="N67" s="500"/>
      <c r="O67" s="500"/>
      <c r="P67" s="500"/>
      <c r="Q67" s="500"/>
    </row>
    <row r="68" spans="1:17" ht="12.75">
      <c r="A68" s="500"/>
      <c r="B68" s="500"/>
      <c r="C68" s="500"/>
      <c r="D68" s="500"/>
      <c r="E68" s="500"/>
      <c r="F68" s="500"/>
      <c r="G68" s="500"/>
      <c r="H68" s="500"/>
      <c r="I68" s="500"/>
      <c r="J68" s="500"/>
      <c r="K68" s="500"/>
      <c r="L68" s="500"/>
      <c r="M68" s="500"/>
      <c r="N68" s="500"/>
      <c r="O68" s="500"/>
      <c r="P68" s="500"/>
      <c r="Q68" s="500"/>
    </row>
    <row r="69" spans="1:17" ht="12.75">
      <c r="A69" s="500"/>
      <c r="B69" s="500"/>
      <c r="C69" s="500"/>
      <c r="D69" s="500"/>
      <c r="E69" s="500"/>
      <c r="F69" s="500"/>
      <c r="G69" s="500"/>
      <c r="H69" s="500"/>
      <c r="I69" s="500"/>
      <c r="J69" s="500"/>
      <c r="K69" s="500"/>
      <c r="L69" s="500"/>
      <c r="M69" s="500"/>
      <c r="N69" s="500"/>
      <c r="O69" s="500"/>
      <c r="P69" s="500"/>
      <c r="Q69" s="500"/>
    </row>
    <row r="70" spans="1:17" ht="12.75">
      <c r="A70" s="500"/>
      <c r="B70" s="500"/>
      <c r="C70" s="500"/>
      <c r="D70" s="500"/>
      <c r="E70" s="500"/>
      <c r="F70" s="500"/>
      <c r="G70" s="500"/>
      <c r="H70" s="500"/>
      <c r="I70" s="500"/>
      <c r="J70" s="500"/>
      <c r="K70" s="500"/>
      <c r="L70" s="500"/>
      <c r="M70" s="500"/>
      <c r="N70" s="500"/>
      <c r="O70" s="500"/>
      <c r="P70" s="500"/>
      <c r="Q70" s="500"/>
    </row>
    <row r="71" spans="1:17" ht="12.75">
      <c r="A71" s="500"/>
      <c r="B71" s="500"/>
      <c r="C71" s="500"/>
      <c r="D71" s="500"/>
      <c r="E71" s="500"/>
      <c r="F71" s="500"/>
      <c r="G71" s="500"/>
      <c r="H71" s="500"/>
      <c r="I71" s="500"/>
      <c r="J71" s="500"/>
      <c r="K71" s="500"/>
      <c r="L71" s="500"/>
      <c r="M71" s="500"/>
      <c r="N71" s="500"/>
      <c r="O71" s="500"/>
      <c r="P71" s="500"/>
      <c r="Q71" s="500"/>
    </row>
    <row r="72" spans="1:17" ht="12.75">
      <c r="A72" s="500"/>
      <c r="B72" s="500"/>
      <c r="C72" s="500"/>
      <c r="D72" s="500"/>
      <c r="E72" s="500"/>
      <c r="F72" s="500"/>
      <c r="G72" s="500"/>
      <c r="H72" s="500"/>
      <c r="I72" s="500"/>
      <c r="J72" s="500"/>
      <c r="K72" s="500"/>
      <c r="L72" s="500"/>
      <c r="M72" s="500"/>
      <c r="N72" s="500"/>
      <c r="O72" s="500"/>
      <c r="P72" s="500"/>
      <c r="Q72" s="500"/>
    </row>
    <row r="73" spans="1:17" ht="12.75">
      <c r="A73" s="500"/>
      <c r="B73" s="500"/>
      <c r="C73" s="500"/>
      <c r="D73" s="500"/>
      <c r="E73" s="500"/>
      <c r="F73" s="500"/>
      <c r="G73" s="500"/>
      <c r="H73" s="500"/>
      <c r="I73" s="500"/>
      <c r="J73" s="500"/>
      <c r="K73" s="500"/>
      <c r="L73" s="500"/>
      <c r="M73" s="500"/>
      <c r="N73" s="500"/>
      <c r="O73" s="500"/>
      <c r="P73" s="500"/>
      <c r="Q73" s="500"/>
    </row>
    <row r="74" spans="1:17" ht="12.75">
      <c r="A74" s="500"/>
      <c r="B74" s="500"/>
      <c r="C74" s="500"/>
      <c r="D74" s="500"/>
      <c r="E74" s="500"/>
      <c r="F74" s="500"/>
      <c r="G74" s="500"/>
      <c r="H74" s="500"/>
      <c r="I74" s="500"/>
      <c r="J74" s="500"/>
      <c r="K74" s="500"/>
      <c r="L74" s="500"/>
      <c r="M74" s="500"/>
      <c r="N74" s="500"/>
      <c r="O74" s="500"/>
      <c r="P74" s="500"/>
      <c r="Q74" s="500"/>
    </row>
    <row r="75" spans="1:17" ht="12.75">
      <c r="A75" s="500"/>
      <c r="B75" s="500"/>
      <c r="C75" s="500"/>
      <c r="D75" s="500"/>
      <c r="E75" s="500"/>
      <c r="F75" s="500"/>
      <c r="G75" s="500"/>
      <c r="H75" s="500"/>
      <c r="I75" s="500"/>
      <c r="J75" s="500"/>
      <c r="K75" s="500"/>
      <c r="L75" s="500"/>
      <c r="M75" s="500"/>
      <c r="N75" s="500"/>
      <c r="O75" s="500"/>
      <c r="P75" s="500"/>
      <c r="Q75" s="500"/>
    </row>
    <row r="76" spans="1:17" ht="12.75">
      <c r="A76" s="500"/>
      <c r="B76" s="500"/>
      <c r="C76" s="500"/>
      <c r="D76" s="500"/>
      <c r="E76" s="500"/>
      <c r="F76" s="500"/>
      <c r="G76" s="500"/>
      <c r="H76" s="500"/>
      <c r="I76" s="500"/>
      <c r="J76" s="500"/>
      <c r="K76" s="500"/>
      <c r="L76" s="500"/>
      <c r="M76" s="500"/>
      <c r="N76" s="500"/>
      <c r="O76" s="500"/>
      <c r="P76" s="500"/>
      <c r="Q76" s="500"/>
    </row>
    <row r="77" spans="1:17" ht="12.75">
      <c r="A77" s="500"/>
      <c r="B77" s="500"/>
      <c r="C77" s="500"/>
      <c r="D77" s="500"/>
      <c r="E77" s="500"/>
      <c r="F77" s="500"/>
      <c r="G77" s="500"/>
      <c r="H77" s="500"/>
      <c r="I77" s="500"/>
      <c r="J77" s="500"/>
      <c r="K77" s="500"/>
      <c r="L77" s="500"/>
      <c r="M77" s="500"/>
      <c r="N77" s="500"/>
      <c r="O77" s="500"/>
      <c r="P77" s="500"/>
      <c r="Q77" s="500"/>
    </row>
    <row r="78" spans="1:17" ht="12.75">
      <c r="A78" s="500"/>
      <c r="B78" s="500"/>
      <c r="C78" s="500"/>
      <c r="D78" s="500"/>
      <c r="E78" s="500"/>
      <c r="F78" s="500"/>
      <c r="G78" s="500"/>
      <c r="H78" s="500"/>
      <c r="I78" s="500"/>
      <c r="J78" s="500"/>
      <c r="K78" s="500"/>
      <c r="L78" s="500"/>
      <c r="M78" s="500"/>
      <c r="N78" s="500"/>
      <c r="O78" s="500"/>
      <c r="P78" s="500"/>
      <c r="Q78" s="500"/>
    </row>
    <row r="79" spans="1:17" ht="12.75">
      <c r="A79" s="500"/>
      <c r="B79" s="500"/>
      <c r="C79" s="500"/>
      <c r="D79" s="500"/>
      <c r="E79" s="500"/>
      <c r="F79" s="500"/>
      <c r="G79" s="500"/>
      <c r="H79" s="500"/>
      <c r="I79" s="500"/>
      <c r="J79" s="500"/>
      <c r="K79" s="500"/>
      <c r="L79" s="500"/>
      <c r="M79" s="500"/>
      <c r="N79" s="500"/>
      <c r="O79" s="500"/>
      <c r="P79" s="500"/>
      <c r="Q79" s="500"/>
    </row>
    <row r="80" spans="1:17" ht="12.75">
      <c r="A80" s="500"/>
      <c r="B80" s="500"/>
      <c r="C80" s="500"/>
      <c r="D80" s="500"/>
      <c r="E80" s="500"/>
      <c r="F80" s="500"/>
      <c r="G80" s="500"/>
      <c r="H80" s="500"/>
      <c r="I80" s="500"/>
      <c r="J80" s="500"/>
      <c r="K80" s="500"/>
      <c r="L80" s="500"/>
      <c r="M80" s="500"/>
      <c r="N80" s="500"/>
      <c r="O80" s="500"/>
      <c r="P80" s="500"/>
      <c r="Q80" s="500"/>
    </row>
    <row r="81" spans="1:17" ht="12.75">
      <c r="A81" s="500"/>
      <c r="B81" s="500"/>
      <c r="C81" s="500"/>
      <c r="D81" s="500"/>
      <c r="E81" s="500"/>
      <c r="F81" s="500"/>
      <c r="G81" s="500"/>
      <c r="H81" s="500"/>
      <c r="I81" s="500"/>
      <c r="J81" s="500"/>
      <c r="K81" s="500"/>
      <c r="L81" s="500"/>
      <c r="M81" s="500"/>
      <c r="N81" s="500"/>
      <c r="O81" s="500"/>
      <c r="P81" s="500"/>
      <c r="Q81" s="500"/>
    </row>
    <row r="82" spans="1:17" ht="12.75">
      <c r="A82" s="500"/>
      <c r="B82" s="500"/>
      <c r="C82" s="500"/>
      <c r="D82" s="500"/>
      <c r="E82" s="500"/>
      <c r="F82" s="500"/>
      <c r="G82" s="500"/>
      <c r="H82" s="500"/>
      <c r="I82" s="500"/>
      <c r="J82" s="500"/>
      <c r="K82" s="500"/>
      <c r="L82" s="500"/>
      <c r="M82" s="500"/>
      <c r="N82" s="500"/>
      <c r="O82" s="500"/>
      <c r="P82" s="500"/>
      <c r="Q82" s="500"/>
    </row>
    <row r="83" spans="1:17" ht="12.75">
      <c r="A83" s="500"/>
      <c r="B83" s="500"/>
      <c r="C83" s="500"/>
      <c r="D83" s="500"/>
      <c r="E83" s="500"/>
      <c r="F83" s="500"/>
      <c r="G83" s="500"/>
      <c r="H83" s="500"/>
      <c r="I83" s="500"/>
      <c r="J83" s="500"/>
      <c r="K83" s="500"/>
      <c r="L83" s="500"/>
      <c r="M83" s="500"/>
      <c r="N83" s="500"/>
      <c r="O83" s="500"/>
      <c r="P83" s="500"/>
      <c r="Q83" s="500"/>
    </row>
    <row r="84" spans="1:17" ht="12.75">
      <c r="A84" s="500"/>
      <c r="B84" s="500"/>
      <c r="C84" s="500"/>
      <c r="D84" s="500"/>
      <c r="E84" s="500"/>
      <c r="F84" s="500"/>
      <c r="G84" s="500"/>
      <c r="H84" s="500"/>
      <c r="I84" s="500"/>
      <c r="J84" s="500"/>
      <c r="K84" s="500"/>
      <c r="L84" s="500"/>
      <c r="M84" s="500"/>
      <c r="N84" s="500"/>
      <c r="O84" s="500"/>
      <c r="P84" s="500"/>
      <c r="Q84" s="500"/>
    </row>
    <row r="85" spans="1:17" ht="12.75">
      <c r="A85" s="500"/>
      <c r="B85" s="500"/>
      <c r="C85" s="500"/>
      <c r="D85" s="500"/>
      <c r="E85" s="500"/>
      <c r="F85" s="500"/>
      <c r="G85" s="500"/>
      <c r="H85" s="500"/>
      <c r="I85" s="500"/>
      <c r="J85" s="500"/>
      <c r="K85" s="500"/>
      <c r="L85" s="500"/>
      <c r="M85" s="500"/>
      <c r="N85" s="500"/>
      <c r="O85" s="500"/>
      <c r="P85" s="500"/>
      <c r="Q85" s="500"/>
    </row>
    <row r="86" spans="1:17" ht="12.75">
      <c r="A86" s="500"/>
      <c r="B86" s="500"/>
      <c r="C86" s="500"/>
      <c r="D86" s="500"/>
      <c r="E86" s="500"/>
      <c r="F86" s="500"/>
      <c r="G86" s="500"/>
      <c r="H86" s="500"/>
      <c r="I86" s="500"/>
      <c r="J86" s="500"/>
      <c r="K86" s="500"/>
      <c r="L86" s="500"/>
      <c r="M86" s="500"/>
      <c r="N86" s="500"/>
      <c r="O86" s="500"/>
      <c r="P86" s="500"/>
      <c r="Q86" s="500"/>
    </row>
    <row r="87" spans="1:17" ht="12.75">
      <c r="A87" s="500"/>
      <c r="B87" s="500"/>
      <c r="C87" s="500"/>
      <c r="D87" s="500"/>
      <c r="E87" s="500"/>
      <c r="F87" s="500"/>
      <c r="G87" s="500"/>
      <c r="H87" s="500"/>
      <c r="I87" s="500"/>
      <c r="J87" s="500"/>
      <c r="K87" s="500"/>
      <c r="L87" s="500"/>
      <c r="M87" s="500"/>
      <c r="N87" s="500"/>
      <c r="O87" s="500"/>
      <c r="P87" s="500"/>
      <c r="Q87" s="500"/>
    </row>
    <row r="88" spans="1:17" ht="12.75">
      <c r="A88" s="500"/>
      <c r="B88" s="500"/>
      <c r="C88" s="500"/>
      <c r="D88" s="500"/>
      <c r="E88" s="500"/>
      <c r="F88" s="500"/>
      <c r="G88" s="500"/>
      <c r="H88" s="500"/>
      <c r="I88" s="500"/>
      <c r="J88" s="500"/>
      <c r="K88" s="500"/>
      <c r="L88" s="500"/>
      <c r="M88" s="500"/>
      <c r="N88" s="500"/>
      <c r="O88" s="500"/>
      <c r="P88" s="500"/>
      <c r="Q88" s="500"/>
    </row>
    <row r="89" spans="1:17" ht="12.75">
      <c r="A89" s="500"/>
      <c r="B89" s="500"/>
      <c r="C89" s="500"/>
      <c r="D89" s="500"/>
      <c r="E89" s="500"/>
      <c r="F89" s="500"/>
      <c r="G89" s="500"/>
      <c r="H89" s="500"/>
      <c r="I89" s="500"/>
      <c r="J89" s="500"/>
      <c r="K89" s="500"/>
      <c r="L89" s="500"/>
      <c r="M89" s="500"/>
      <c r="N89" s="500"/>
      <c r="O89" s="500"/>
      <c r="P89" s="500"/>
      <c r="Q89" s="500"/>
    </row>
    <row r="90" spans="1:17" ht="12.75">
      <c r="A90" s="500"/>
      <c r="B90" s="500"/>
      <c r="C90" s="500"/>
      <c r="D90" s="500"/>
      <c r="E90" s="500"/>
      <c r="F90" s="500"/>
      <c r="G90" s="500"/>
      <c r="H90" s="500"/>
      <c r="I90" s="500"/>
      <c r="J90" s="500"/>
      <c r="K90" s="500"/>
      <c r="L90" s="500"/>
      <c r="M90" s="500"/>
      <c r="N90" s="500"/>
      <c r="O90" s="500"/>
      <c r="P90" s="500"/>
      <c r="Q90" s="500"/>
    </row>
    <row r="91" spans="11:17" ht="12.75">
      <c r="K91" s="500"/>
      <c r="L91" s="500"/>
      <c r="M91" s="500"/>
      <c r="N91" s="500"/>
      <c r="O91" s="500"/>
      <c r="P91" s="500"/>
      <c r="Q91" s="500"/>
    </row>
  </sheetData>
  <sheetProtection password="860F" sheet="1" selectLockedCells="1"/>
  <printOptions horizontalCentered="1"/>
  <pageMargins left="0.25" right="0.25" top="0.5" bottom="1.25" header="0.5" footer="1.25"/>
  <pageSetup horizontalDpi="600" verticalDpi="600" orientation="landscape" scale="71" r:id="rId1"/>
  <headerFooter alignWithMargins="0">
    <oddHeader>&amp;C&amp;"Arial,Bold"&amp;14Template
Nonpublic Special Education School Supplemental Audit Schedule 
FY 2022
&amp;R&amp;"Arial,Bold"Form 5B</oddHeader>
    <oddFooter>&amp;LNSES Budget Template - Approved&amp;C01/2023&amp;R5B</oddFooter>
  </headerFooter>
</worksheet>
</file>

<file path=xl/worksheets/sheet29.xml><?xml version="1.0" encoding="utf-8"?>
<worksheet xmlns="http://schemas.openxmlformats.org/spreadsheetml/2006/main" xmlns:r="http://schemas.openxmlformats.org/officeDocument/2006/relationships">
  <dimension ref="A1:AF159"/>
  <sheetViews>
    <sheetView showGridLines="0" showZeros="0" zoomScalePageLayoutView="0" workbookViewId="0" topLeftCell="A6">
      <selection activeCell="E6" sqref="E6:H6"/>
    </sheetView>
  </sheetViews>
  <sheetFormatPr defaultColWidth="9.140625" defaultRowHeight="12.75"/>
  <cols>
    <col min="1" max="1" width="3.140625" style="0" customWidth="1"/>
    <col min="2" max="2" width="6.8515625" style="0" customWidth="1"/>
    <col min="3" max="3" width="7.00390625" style="0" customWidth="1"/>
    <col min="4" max="4" width="5.8515625" style="0" customWidth="1"/>
    <col min="5" max="5" width="4.140625" style="0" customWidth="1"/>
    <col min="6" max="6" width="5.140625" style="0" customWidth="1"/>
    <col min="7" max="7" width="8.28125" style="0" customWidth="1"/>
    <col min="8" max="8" width="8.8515625" style="0" customWidth="1"/>
    <col min="9" max="9" width="7.421875" style="0" customWidth="1"/>
    <col min="10" max="10" width="5.57421875" style="0" customWidth="1"/>
    <col min="11" max="11" width="5.00390625" style="0" customWidth="1"/>
    <col min="12" max="12" width="1.8515625" style="0" customWidth="1"/>
    <col min="13" max="13" width="2.57421875" style="0" customWidth="1"/>
    <col min="14" max="14" width="3.28125" style="0" customWidth="1"/>
    <col min="15" max="16" width="4.140625" style="0" customWidth="1"/>
    <col min="17" max="17" width="3.57421875" style="0" customWidth="1"/>
    <col min="18" max="18" width="5.57421875" style="0" customWidth="1"/>
    <col min="19" max="19" width="3.421875" style="0" customWidth="1"/>
    <col min="20" max="20" width="5.00390625" style="0" customWidth="1"/>
    <col min="21" max="21" width="5.57421875" style="0" customWidth="1"/>
    <col min="22" max="22" width="8.28125" style="0" customWidth="1"/>
    <col min="23" max="23" width="2.8515625" style="0" customWidth="1"/>
    <col min="24" max="24" width="8.00390625" style="0" customWidth="1"/>
    <col min="25" max="25" width="0.9921875" style="0" customWidth="1"/>
    <col min="26" max="26" width="8.28125" style="0" customWidth="1"/>
    <col min="27" max="27" width="1.1484375" style="0" customWidth="1"/>
    <col min="28" max="28" width="8.00390625" style="0" customWidth="1"/>
    <col min="29" max="29" width="0.85546875" style="0" customWidth="1"/>
    <col min="30" max="30" width="8.140625" style="0" customWidth="1"/>
  </cols>
  <sheetData>
    <row r="1" spans="1:30" ht="15" customHeight="1">
      <c r="A1" s="855" t="s">
        <v>533</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6"/>
      <c r="AC1" s="856"/>
      <c r="AD1" s="857"/>
    </row>
    <row r="2" spans="1:30" ht="15" customHeight="1">
      <c r="A2" s="855" t="s">
        <v>411</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6"/>
      <c r="AC2" s="856"/>
      <c r="AD2" s="856"/>
    </row>
    <row r="3" spans="1:30" ht="15" customHeight="1">
      <c r="A3" s="855" t="str">
        <f>"Program Year "&amp;clFiscalYear-1&amp;" - "&amp;clFiscalYear</f>
        <v>Program Year 2023 - 2024</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6"/>
      <c r="AC3" s="856"/>
      <c r="AD3" s="856"/>
    </row>
    <row r="4" spans="1:30" ht="17.25" customHeight="1">
      <c r="A4" s="855" t="s">
        <v>424</v>
      </c>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6"/>
      <c r="AC4" s="856"/>
      <c r="AD4" s="856"/>
    </row>
    <row r="5" spans="1:30" ht="21"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row>
    <row r="6" spans="1:30" ht="18" customHeight="1">
      <c r="A6" s="147" t="s">
        <v>20</v>
      </c>
      <c r="B6" s="830" t="s">
        <v>412</v>
      </c>
      <c r="C6" s="857"/>
      <c r="D6" s="857"/>
      <c r="E6" s="848"/>
      <c r="F6" s="848"/>
      <c r="G6" s="848"/>
      <c r="H6" s="848"/>
      <c r="I6" s="152" t="s">
        <v>66</v>
      </c>
      <c r="J6" s="847"/>
      <c r="K6" s="847"/>
      <c r="L6" s="847"/>
      <c r="M6" s="847"/>
      <c r="N6" s="847"/>
      <c r="O6" s="847"/>
      <c r="P6" s="847"/>
      <c r="Q6" s="854" t="s">
        <v>539</v>
      </c>
      <c r="R6" s="854"/>
      <c r="S6" s="847"/>
      <c r="T6" s="847"/>
      <c r="U6" s="847"/>
      <c r="V6" s="830" t="s">
        <v>536</v>
      </c>
      <c r="W6" s="830"/>
      <c r="X6" s="830"/>
      <c r="Y6" s="830"/>
      <c r="Z6" s="830"/>
      <c r="AA6" s="828"/>
      <c r="AB6" s="828"/>
      <c r="AC6" s="828"/>
      <c r="AD6" s="828"/>
    </row>
    <row r="7" spans="1:30" ht="6" customHeight="1">
      <c r="A7" s="147"/>
      <c r="B7" s="148"/>
      <c r="C7" s="149"/>
      <c r="D7" s="149"/>
      <c r="E7" s="307"/>
      <c r="F7" s="307"/>
      <c r="G7" s="307"/>
      <c r="H7" s="307"/>
      <c r="I7" s="307"/>
      <c r="J7" s="307"/>
      <c r="K7" s="150"/>
      <c r="L7" s="233"/>
      <c r="M7" s="310"/>
      <c r="N7" s="310"/>
      <c r="O7" s="310"/>
      <c r="P7" s="310"/>
      <c r="Q7" s="310"/>
      <c r="R7" s="310"/>
      <c r="S7" s="151"/>
      <c r="T7" s="151"/>
      <c r="U7" s="311"/>
      <c r="V7" s="148"/>
      <c r="W7" s="148"/>
      <c r="X7" s="148"/>
      <c r="Y7" s="148"/>
      <c r="Z7" s="148"/>
      <c r="AA7" s="148"/>
      <c r="AB7" s="305"/>
      <c r="AC7" s="314"/>
      <c r="AD7" s="305"/>
    </row>
    <row r="8" spans="1:30" ht="14.25" customHeight="1">
      <c r="A8" s="147"/>
      <c r="B8" s="148"/>
      <c r="C8" s="149"/>
      <c r="D8" s="149"/>
      <c r="E8" s="307"/>
      <c r="F8" s="307"/>
      <c r="G8" s="307"/>
      <c r="H8" s="307"/>
      <c r="I8" s="307"/>
      <c r="J8" s="307"/>
      <c r="K8" s="150"/>
      <c r="L8" s="233"/>
      <c r="M8" s="310"/>
      <c r="N8" s="310"/>
      <c r="O8" s="310"/>
      <c r="P8" s="310"/>
      <c r="Q8" s="310"/>
      <c r="R8" s="310"/>
      <c r="U8" s="551" t="s">
        <v>531</v>
      </c>
      <c r="V8" s="328" t="s">
        <v>522</v>
      </c>
      <c r="W8" s="332"/>
      <c r="X8" s="328" t="s">
        <v>524</v>
      </c>
      <c r="Y8" s="331"/>
      <c r="Z8" s="328" t="s">
        <v>525</v>
      </c>
      <c r="AA8" s="331"/>
      <c r="AB8" s="328" t="s">
        <v>526</v>
      </c>
      <c r="AC8" s="331"/>
      <c r="AD8" s="328" t="s">
        <v>527</v>
      </c>
    </row>
    <row r="9" spans="1:30" ht="19.5" customHeight="1">
      <c r="A9" s="147"/>
      <c r="B9" s="146" t="s">
        <v>67</v>
      </c>
      <c r="C9" s="835"/>
      <c r="D9" s="835"/>
      <c r="E9" s="835"/>
      <c r="F9" s="835"/>
      <c r="G9" s="148" t="s">
        <v>429</v>
      </c>
      <c r="H9" s="346" t="s">
        <v>532</v>
      </c>
      <c r="J9" s="155" t="s">
        <v>535</v>
      </c>
      <c r="K9" s="343"/>
      <c r="N9" s="155"/>
      <c r="O9" s="155"/>
      <c r="P9" s="853" t="s">
        <v>532</v>
      </c>
      <c r="Q9" s="853"/>
      <c r="R9" s="853"/>
      <c r="S9" s="846" t="s">
        <v>587</v>
      </c>
      <c r="T9" s="846"/>
      <c r="U9" s="846"/>
      <c r="V9" s="344" t="s">
        <v>532</v>
      </c>
      <c r="W9" s="345"/>
      <c r="X9" s="344" t="s">
        <v>532</v>
      </c>
      <c r="Y9" s="344"/>
      <c r="Z9" s="344" t="s">
        <v>532</v>
      </c>
      <c r="AA9" s="344"/>
      <c r="AB9" s="344" t="s">
        <v>532</v>
      </c>
      <c r="AC9" s="344"/>
      <c r="AD9" s="344" t="s">
        <v>532</v>
      </c>
    </row>
    <row r="10" spans="1:30" ht="12" customHeight="1">
      <c r="A10" s="147"/>
      <c r="B10" s="146"/>
      <c r="C10" s="304"/>
      <c r="D10" s="305"/>
      <c r="E10" s="305"/>
      <c r="F10" s="305"/>
      <c r="G10" s="305"/>
      <c r="H10" s="147"/>
      <c r="I10" s="305"/>
      <c r="J10" s="151"/>
      <c r="K10" s="306"/>
      <c r="L10" s="306"/>
      <c r="M10" s="300"/>
      <c r="N10" s="300"/>
      <c r="O10" s="300"/>
      <c r="P10" s="300"/>
      <c r="Q10" s="300"/>
      <c r="R10" s="302"/>
      <c r="S10" s="303"/>
      <c r="T10" s="303"/>
      <c r="V10" s="301" t="s">
        <v>523</v>
      </c>
      <c r="W10" s="340"/>
      <c r="X10" s="301" t="s">
        <v>528</v>
      </c>
      <c r="Y10" s="339"/>
      <c r="Z10" s="308" t="s">
        <v>529</v>
      </c>
      <c r="AA10" s="342"/>
      <c r="AB10" s="308" t="s">
        <v>530</v>
      </c>
      <c r="AC10" s="342"/>
      <c r="AD10" s="301" t="s">
        <v>55</v>
      </c>
    </row>
    <row r="11" spans="1:32" ht="14.25">
      <c r="A11" s="147"/>
      <c r="B11" s="851" t="s">
        <v>430</v>
      </c>
      <c r="C11" s="851"/>
      <c r="D11" s="851"/>
      <c r="E11" s="851"/>
      <c r="F11" s="851"/>
      <c r="G11" s="853" t="s">
        <v>532</v>
      </c>
      <c r="H11" s="853"/>
      <c r="I11" s="239"/>
      <c r="J11" s="148" t="s">
        <v>446</v>
      </c>
      <c r="K11" s="852" t="s">
        <v>532</v>
      </c>
      <c r="L11" s="852"/>
      <c r="M11" s="852"/>
      <c r="N11" s="852"/>
      <c r="O11" s="852"/>
      <c r="P11" s="152"/>
      <c r="Q11" s="340"/>
      <c r="W11" s="858"/>
      <c r="X11" s="858"/>
      <c r="Y11" s="858"/>
      <c r="Z11" s="858"/>
      <c r="AA11" s="858"/>
      <c r="AB11" s="858"/>
      <c r="AC11" s="858"/>
      <c r="AD11" s="858"/>
      <c r="AE11" s="149"/>
      <c r="AF11" s="149"/>
    </row>
    <row r="12" spans="1:30" ht="16.5" customHeight="1">
      <c r="A12" s="147"/>
      <c r="B12" s="817" t="s">
        <v>71</v>
      </c>
      <c r="C12" s="817"/>
      <c r="D12" s="817"/>
      <c r="E12" s="817"/>
      <c r="F12" s="151"/>
      <c r="G12" s="852" t="s">
        <v>532</v>
      </c>
      <c r="H12" s="852"/>
      <c r="I12" s="152"/>
      <c r="J12" s="148" t="s">
        <v>72</v>
      </c>
      <c r="K12" s="148"/>
      <c r="L12" s="148"/>
      <c r="M12" s="148"/>
      <c r="N12" s="148"/>
      <c r="O12" s="148"/>
      <c r="P12" s="299"/>
      <c r="Q12" s="327"/>
      <c r="R12" s="859"/>
      <c r="S12" s="859"/>
      <c r="T12" s="859"/>
      <c r="U12" s="859"/>
      <c r="V12" s="859"/>
      <c r="W12" s="859"/>
      <c r="X12" s="859"/>
      <c r="Y12" s="341"/>
      <c r="Z12" s="341"/>
      <c r="AA12" s="341"/>
      <c r="AB12" s="341"/>
      <c r="AC12" s="341"/>
      <c r="AD12" s="341"/>
    </row>
    <row r="13" spans="1:30" ht="15" customHeight="1">
      <c r="A13" s="147"/>
      <c r="B13" s="817" t="s">
        <v>426</v>
      </c>
      <c r="C13" s="817"/>
      <c r="D13" s="817"/>
      <c r="E13" s="817"/>
      <c r="F13" s="835"/>
      <c r="G13" s="835"/>
      <c r="H13" s="835"/>
      <c r="I13" s="835"/>
      <c r="J13" s="835"/>
      <c r="K13" s="239"/>
      <c r="L13" s="821" t="s">
        <v>518</v>
      </c>
      <c r="M13" s="836"/>
      <c r="N13" s="836"/>
      <c r="O13" s="836"/>
      <c r="P13" s="836"/>
      <c r="Q13" s="837"/>
      <c r="R13" s="837"/>
      <c r="S13" s="837"/>
      <c r="T13" s="837"/>
      <c r="U13" s="837"/>
      <c r="V13" s="153" t="s">
        <v>519</v>
      </c>
      <c r="W13" s="153"/>
      <c r="X13" s="233"/>
      <c r="Y13" s="233"/>
      <c r="Z13" s="834"/>
      <c r="AA13" s="834"/>
      <c r="AB13" s="834"/>
      <c r="AC13" s="834"/>
      <c r="AD13" s="834"/>
    </row>
    <row r="14" spans="1:30" ht="12.75">
      <c r="A14" s="147"/>
      <c r="B14" s="153"/>
      <c r="C14" s="153"/>
      <c r="D14" s="153"/>
      <c r="E14" s="153"/>
      <c r="F14" s="297"/>
      <c r="G14" s="297"/>
      <c r="H14" s="297"/>
      <c r="I14" s="297"/>
      <c r="J14" s="297"/>
      <c r="K14" s="239"/>
      <c r="L14" s="146"/>
      <c r="M14" s="165"/>
      <c r="N14" s="146"/>
      <c r="O14" s="156"/>
      <c r="P14" s="239"/>
      <c r="Q14" s="298"/>
      <c r="R14" s="298"/>
      <c r="S14" s="298"/>
      <c r="T14" s="298"/>
      <c r="U14" s="298"/>
      <c r="V14" s="153"/>
      <c r="W14" s="153"/>
      <c r="X14" s="233"/>
      <c r="Y14" s="233"/>
      <c r="Z14" s="233"/>
      <c r="AA14" s="233"/>
      <c r="AB14" s="299"/>
      <c r="AC14" s="299"/>
      <c r="AD14" s="299"/>
    </row>
    <row r="15" spans="1:30" ht="12.75">
      <c r="A15" s="147" t="s">
        <v>21</v>
      </c>
      <c r="B15" s="146" t="s">
        <v>86</v>
      </c>
      <c r="C15" s="146"/>
      <c r="D15" s="839">
        <f>clSchoolName</f>
        <v>0</v>
      </c>
      <c r="E15" s="839"/>
      <c r="F15" s="839"/>
      <c r="G15" s="839"/>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row>
    <row r="16" spans="1:30" ht="15.75" customHeight="1">
      <c r="A16" s="147"/>
      <c r="B16" s="146" t="s">
        <v>630</v>
      </c>
      <c r="C16" s="146"/>
      <c r="D16" s="779">
        <f>clSchoolNumber</f>
        <v>0</v>
      </c>
      <c r="E16" s="779"/>
      <c r="F16" s="779"/>
      <c r="G16" s="779"/>
      <c r="H16" s="825" t="s">
        <v>65</v>
      </c>
      <c r="I16" s="826"/>
      <c r="J16" s="864">
        <f>clProgramName</f>
        <v>0</v>
      </c>
      <c r="K16" s="864"/>
      <c r="L16" s="864"/>
      <c r="M16" s="864"/>
      <c r="N16" s="864"/>
      <c r="O16" s="864"/>
      <c r="P16" s="864"/>
      <c r="Q16" s="864"/>
      <c r="R16" s="864"/>
      <c r="S16" s="864"/>
      <c r="T16" s="864"/>
      <c r="U16" s="864"/>
      <c r="V16" s="804"/>
      <c r="W16" s="309"/>
      <c r="X16" s="825" t="s">
        <v>73</v>
      </c>
      <c r="Y16" s="825"/>
      <c r="Z16" s="826"/>
      <c r="AA16" s="840">
        <f>'Form 1A'!I12</f>
        <v>0</v>
      </c>
      <c r="AB16" s="841"/>
      <c r="AC16" s="841"/>
      <c r="AD16" s="841"/>
    </row>
    <row r="17" spans="1:30" ht="12.75">
      <c r="A17" s="147"/>
      <c r="B17" s="146" t="s">
        <v>174</v>
      </c>
      <c r="C17" s="146"/>
      <c r="D17" s="865">
        <f>clSchoolAddress</f>
        <v>0</v>
      </c>
      <c r="E17" s="865"/>
      <c r="F17" s="865"/>
      <c r="G17" s="865"/>
      <c r="H17" s="865"/>
      <c r="I17" s="863">
        <f>clCity</f>
        <v>0</v>
      </c>
      <c r="J17" s="863"/>
      <c r="K17" s="863"/>
      <c r="L17" s="779">
        <f>clState</f>
        <v>0</v>
      </c>
      <c r="M17" s="779"/>
      <c r="N17" s="779">
        <f>clZipCode</f>
        <v>0</v>
      </c>
      <c r="O17" s="779"/>
      <c r="P17" s="779"/>
      <c r="Q17" s="779"/>
      <c r="R17" s="360"/>
      <c r="S17" s="360"/>
      <c r="T17" s="360"/>
      <c r="U17" s="360"/>
      <c r="V17" s="360"/>
      <c r="W17" s="360"/>
      <c r="X17" s="360"/>
      <c r="Y17" s="360"/>
      <c r="Z17" s="360"/>
      <c r="AA17" s="360"/>
      <c r="AB17" s="360"/>
      <c r="AC17" s="360"/>
      <c r="AD17" s="360"/>
    </row>
    <row r="18" spans="1:30" ht="12.75">
      <c r="A18" s="147"/>
      <c r="B18" s="146" t="s">
        <v>74</v>
      </c>
      <c r="C18" s="146"/>
      <c r="D18" s="157"/>
      <c r="E18" s="842">
        <f>clSchoolEducDir</f>
        <v>0</v>
      </c>
      <c r="F18" s="842"/>
      <c r="G18" s="842"/>
      <c r="H18" s="842"/>
      <c r="I18" s="842"/>
      <c r="J18" s="842"/>
      <c r="K18" s="842"/>
      <c r="L18" s="842"/>
      <c r="M18" s="842"/>
      <c r="N18" s="842"/>
      <c r="O18" s="842"/>
      <c r="P18" s="842"/>
      <c r="Q18" s="829" t="s">
        <v>75</v>
      </c>
      <c r="R18" s="829"/>
      <c r="S18" s="829"/>
      <c r="T18" s="315"/>
      <c r="U18" s="827">
        <f>clSchoolPhone</f>
        <v>0</v>
      </c>
      <c r="V18" s="827"/>
      <c r="W18" s="827"/>
      <c r="X18" s="315" t="s">
        <v>175</v>
      </c>
      <c r="Y18" s="316"/>
      <c r="Z18" s="779">
        <f>clEdDirEmail</f>
        <v>0</v>
      </c>
      <c r="AA18" s="779"/>
      <c r="AB18" s="779"/>
      <c r="AC18" s="779"/>
      <c r="AD18" s="779"/>
    </row>
    <row r="19" spans="1:30" ht="12.75">
      <c r="A19" s="147"/>
      <c r="B19" s="146" t="s">
        <v>520</v>
      </c>
      <c r="C19" s="146"/>
      <c r="E19" s="789">
        <f>IF(AND(clCalFirstDay="",AND(clCa2FirstDay="",clCa3FirstDay="")),"",IF(AND(clCalFirstDay&lt;&gt;"",clCa2FirstDay=""),"D",IF(AND(clCa2FirstDay&lt;&gt;"",clCalFirstDay=""),"R",IF(AND(clCalFirstDay="",clCa2FirstDay=""),"n/a","Both"))))</f>
      </c>
      <c r="F19" s="789"/>
      <c r="G19" s="789"/>
      <c r="H19" s="789"/>
      <c r="I19" s="789"/>
      <c r="J19" s="829" t="s">
        <v>76</v>
      </c>
      <c r="K19" s="829"/>
      <c r="L19" s="829"/>
      <c r="M19" s="797">
        <f>'Form 1A'!B17</f>
      </c>
      <c r="N19" s="797"/>
      <c r="O19" s="797"/>
      <c r="P19" s="797"/>
      <c r="Q19" s="838" t="s">
        <v>540</v>
      </c>
      <c r="R19" s="838"/>
      <c r="S19" s="838"/>
      <c r="T19" s="824">
        <f>'Form 1A'!C17</f>
        <v>45473</v>
      </c>
      <c r="U19" s="824"/>
      <c r="V19" s="312"/>
      <c r="W19" s="312"/>
      <c r="X19" s="312"/>
      <c r="Y19" s="293"/>
      <c r="Z19" s="796"/>
      <c r="AA19" s="796"/>
      <c r="AB19" s="796"/>
      <c r="AC19" s="293"/>
      <c r="AD19" s="156"/>
    </row>
    <row r="20" spans="1:30" ht="12.75">
      <c r="A20" s="147"/>
      <c r="B20" s="146" t="s">
        <v>427</v>
      </c>
      <c r="C20" s="146"/>
      <c r="D20" s="158"/>
      <c r="E20" s="158"/>
      <c r="F20" s="154"/>
      <c r="G20" s="155" t="s">
        <v>77</v>
      </c>
      <c r="H20" s="362">
        <f>clTotDaysEd</f>
        <v>0</v>
      </c>
      <c r="I20" s="811" t="s">
        <v>78</v>
      </c>
      <c r="J20" s="811"/>
      <c r="K20" s="849">
        <f>'Form 1A'!H18</f>
        <v>0</v>
      </c>
      <c r="L20" s="849"/>
      <c r="M20" s="849"/>
      <c r="N20" s="329"/>
      <c r="O20" s="155" t="s">
        <v>245</v>
      </c>
      <c r="P20" s="850">
        <f>clTotDaysESY</f>
        <v>0</v>
      </c>
      <c r="Q20" s="850"/>
      <c r="R20" s="330"/>
      <c r="S20" s="831"/>
      <c r="T20" s="831"/>
      <c r="U20" s="831"/>
      <c r="V20" s="150"/>
      <c r="W20" s="150"/>
      <c r="X20" s="791"/>
      <c r="Y20" s="791"/>
      <c r="Z20" s="792"/>
      <c r="AA20" s="792"/>
      <c r="AB20" s="792"/>
      <c r="AC20" s="255"/>
      <c r="AD20" s="239"/>
    </row>
    <row r="21" spans="1:30" ht="15">
      <c r="A21" s="147"/>
      <c r="B21" s="830" t="s">
        <v>68</v>
      </c>
      <c r="C21" s="830"/>
      <c r="D21" s="830"/>
      <c r="E21" s="830"/>
      <c r="F21" s="830"/>
      <c r="G21" s="830"/>
      <c r="H21" s="830"/>
      <c r="I21" s="830"/>
      <c r="J21" s="830"/>
      <c r="K21" s="832" t="str">
        <f>'Form 1A'!E26</f>
        <v>No</v>
      </c>
      <c r="L21" s="832"/>
      <c r="M21" s="832"/>
      <c r="N21" s="832"/>
      <c r="O21" s="832"/>
      <c r="P21" s="338"/>
      <c r="Q21" s="811"/>
      <c r="R21" s="811"/>
      <c r="T21" s="800" t="s">
        <v>766</v>
      </c>
      <c r="U21" s="800"/>
      <c r="V21" s="800"/>
      <c r="W21" s="782">
        <f>'Form 1A'!G13:G13</f>
        <v>0</v>
      </c>
      <c r="X21" s="782"/>
      <c r="Y21" s="782"/>
      <c r="Z21" s="782"/>
      <c r="AA21" s="782"/>
      <c r="AB21" s="782"/>
      <c r="AC21" s="255"/>
      <c r="AD21" s="239"/>
    </row>
    <row r="22" spans="1:30" ht="15">
      <c r="A22" s="147"/>
      <c r="B22" s="830" t="s">
        <v>631</v>
      </c>
      <c r="C22" s="830"/>
      <c r="D22" s="828">
        <f>clFederalTaxID</f>
        <v>0</v>
      </c>
      <c r="E22" s="828"/>
      <c r="F22" s="828"/>
      <c r="G22" s="828"/>
      <c r="H22" s="828"/>
      <c r="I22" s="828"/>
      <c r="J22" s="148"/>
      <c r="K22" s="361"/>
      <c r="L22" s="361"/>
      <c r="M22" s="361"/>
      <c r="N22" s="361"/>
      <c r="O22" s="361"/>
      <c r="P22" s="338"/>
      <c r="Q22" s="300"/>
      <c r="R22" s="300"/>
      <c r="T22" s="1"/>
      <c r="U22" s="1"/>
      <c r="W22" s="780"/>
      <c r="X22" s="780"/>
      <c r="Y22" s="780"/>
      <c r="Z22" s="780"/>
      <c r="AA22" s="780"/>
      <c r="AB22" s="780"/>
      <c r="AC22" s="255"/>
      <c r="AD22" s="239"/>
    </row>
    <row r="23" spans="1:30" ht="12.75">
      <c r="A23" s="147"/>
      <c r="S23" s="146"/>
      <c r="T23" s="146"/>
      <c r="U23" s="146"/>
      <c r="V23" s="146"/>
      <c r="W23" s="146"/>
      <c r="X23" s="146"/>
      <c r="Y23" s="146"/>
      <c r="Z23" s="146"/>
      <c r="AA23" s="146"/>
      <c r="AB23" s="146"/>
      <c r="AC23" s="146"/>
      <c r="AD23" s="146"/>
    </row>
    <row r="24" spans="1:30" ht="12.75">
      <c r="A24" s="147" t="s">
        <v>22</v>
      </c>
      <c r="B24" s="146" t="s">
        <v>79</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ht="12.75">
      <c r="A25" s="146"/>
      <c r="B25" s="146" t="s">
        <v>80</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ht="12.75">
      <c r="A26" s="146"/>
      <c r="B26" s="159"/>
      <c r="C26" s="159"/>
      <c r="D26" s="159"/>
      <c r="E26" s="159"/>
      <c r="F26" s="159"/>
      <c r="G26" s="159"/>
      <c r="H26" s="159"/>
      <c r="I26" s="159"/>
      <c r="J26" s="159"/>
      <c r="K26" s="159"/>
      <c r="L26" s="159"/>
      <c r="M26" s="159"/>
      <c r="N26" s="159"/>
      <c r="O26" s="159"/>
      <c r="P26" s="159"/>
      <c r="Q26" s="146"/>
      <c r="R26" s="159"/>
      <c r="S26" s="159"/>
      <c r="T26" s="159"/>
      <c r="U26" s="159"/>
      <c r="V26" s="159"/>
      <c r="W26" s="159"/>
      <c r="X26" s="159"/>
      <c r="Y26" s="159"/>
      <c r="Z26" s="860" t="s">
        <v>81</v>
      </c>
      <c r="AA26" s="860"/>
      <c r="AB26" s="860"/>
      <c r="AC26" s="860"/>
      <c r="AD26" s="860"/>
    </row>
    <row r="27" spans="1:30" ht="12.75">
      <c r="A27" s="146"/>
      <c r="B27" s="146" t="s">
        <v>23</v>
      </c>
      <c r="C27" s="146"/>
      <c r="D27" s="146"/>
      <c r="E27" s="146"/>
      <c r="F27" s="146"/>
      <c r="G27" s="146"/>
      <c r="H27" s="146"/>
      <c r="I27" s="146"/>
      <c r="J27" s="146"/>
      <c r="K27" s="146"/>
      <c r="L27" s="146"/>
      <c r="M27" s="146"/>
      <c r="N27" s="146"/>
      <c r="O27" s="146"/>
      <c r="P27" s="146"/>
      <c r="Q27" s="146"/>
      <c r="R27" s="151"/>
      <c r="S27" s="829"/>
      <c r="T27" s="829"/>
      <c r="U27" s="829"/>
      <c r="V27" s="151"/>
      <c r="W27" s="151"/>
      <c r="X27" s="146"/>
      <c r="Y27" s="146"/>
      <c r="Z27" s="146"/>
      <c r="AA27" s="146"/>
      <c r="AB27" s="146"/>
      <c r="AC27" s="146"/>
      <c r="AD27" s="146"/>
    </row>
    <row r="28" spans="1:30" ht="12.75">
      <c r="A28" s="146"/>
      <c r="B28" s="146" t="s">
        <v>25</v>
      </c>
      <c r="C28" s="146" t="s">
        <v>82</v>
      </c>
      <c r="D28" s="364">
        <f>clTotDaysEd</f>
        <v>0</v>
      </c>
      <c r="E28" s="146"/>
      <c r="F28" s="153" t="s">
        <v>419</v>
      </c>
      <c r="G28" s="153"/>
      <c r="H28" s="363" t="e">
        <f>clDayRateEd</f>
        <v>#VALUE!</v>
      </c>
      <c r="I28" s="160" t="s">
        <v>26</v>
      </c>
      <c r="J28" s="146"/>
      <c r="K28" s="154"/>
      <c r="L28" s="146"/>
      <c r="M28" s="146"/>
      <c r="N28" s="146"/>
      <c r="O28" s="146"/>
      <c r="P28" s="146"/>
      <c r="Q28" s="146"/>
      <c r="R28" s="283"/>
      <c r="S28" s="833"/>
      <c r="T28" s="833"/>
      <c r="U28" s="833"/>
      <c r="V28" s="283"/>
      <c r="W28" s="283"/>
      <c r="X28" s="146"/>
      <c r="Y28" s="146"/>
      <c r="Z28" s="147" t="s">
        <v>27</v>
      </c>
      <c r="AA28" s="147"/>
      <c r="AB28" s="781" t="str">
        <f>IF(D28=0," ",(D28*H28))</f>
        <v> </v>
      </c>
      <c r="AC28" s="781"/>
      <c r="AD28" s="781"/>
    </row>
    <row r="29" spans="1:30" ht="9.75" customHeight="1">
      <c r="A29" s="146"/>
      <c r="B29" s="146"/>
      <c r="C29" s="146"/>
      <c r="D29" s="146"/>
      <c r="E29" s="148"/>
      <c r="F29" s="148"/>
      <c r="G29" s="146"/>
      <c r="H29" s="146"/>
      <c r="I29" s="146"/>
      <c r="J29" s="146"/>
      <c r="K29" s="154"/>
      <c r="L29" s="146"/>
      <c r="M29" s="146"/>
      <c r="N29" s="146"/>
      <c r="O29" s="146"/>
      <c r="P29" s="146"/>
      <c r="Q29" s="146"/>
      <c r="R29" s="154"/>
      <c r="S29" s="284"/>
      <c r="T29" s="284"/>
      <c r="U29" s="284"/>
      <c r="V29" s="154"/>
      <c r="W29" s="154"/>
      <c r="X29" s="146"/>
      <c r="Y29" s="146"/>
      <c r="Z29" s="146"/>
      <c r="AA29" s="146"/>
      <c r="AB29" s="146"/>
      <c r="AC29" s="146"/>
      <c r="AD29" s="296"/>
    </row>
    <row r="30" spans="1:30" ht="12.75">
      <c r="A30" s="146"/>
      <c r="B30" s="146" t="s">
        <v>28</v>
      </c>
      <c r="C30" s="146"/>
      <c r="D30" s="146"/>
      <c r="E30" s="148"/>
      <c r="F30" s="148"/>
      <c r="G30" s="146"/>
      <c r="H30" s="146"/>
      <c r="I30" s="146"/>
      <c r="J30" s="146"/>
      <c r="K30" s="154"/>
      <c r="L30" s="146"/>
      <c r="M30" s="146"/>
      <c r="N30" s="146"/>
      <c r="O30" s="146"/>
      <c r="P30" s="146"/>
      <c r="Q30" s="146"/>
      <c r="R30" s="154"/>
      <c r="S30" s="154"/>
      <c r="T30" s="154"/>
      <c r="U30" s="154"/>
      <c r="V30" s="154"/>
      <c r="W30" s="154"/>
      <c r="X30" s="146"/>
      <c r="Y30" s="146"/>
      <c r="Z30" s="146"/>
      <c r="AA30" s="146"/>
      <c r="AB30" s="146"/>
      <c r="AC30" s="146"/>
      <c r="AD30" s="296"/>
    </row>
    <row r="31" spans="1:30" ht="12.75">
      <c r="A31" s="146" t="s">
        <v>29</v>
      </c>
      <c r="B31" s="146"/>
      <c r="C31" s="146" t="s">
        <v>82</v>
      </c>
      <c r="D31" s="364">
        <f>clTotDaysRes</f>
        <v>0</v>
      </c>
      <c r="E31" s="146"/>
      <c r="F31" s="146" t="s">
        <v>419</v>
      </c>
      <c r="G31" s="146"/>
      <c r="H31" s="363">
        <f>clDayRateRes</f>
        <v>0</v>
      </c>
      <c r="I31" s="160" t="s">
        <v>26</v>
      </c>
      <c r="J31" s="146"/>
      <c r="K31" s="154"/>
      <c r="L31" s="146"/>
      <c r="M31" s="146"/>
      <c r="N31" s="146"/>
      <c r="O31" s="146"/>
      <c r="P31" s="146"/>
      <c r="Q31" s="146"/>
      <c r="R31" s="283"/>
      <c r="S31" s="833"/>
      <c r="T31" s="833"/>
      <c r="U31" s="833"/>
      <c r="V31" s="283"/>
      <c r="W31" s="283"/>
      <c r="X31" s="146"/>
      <c r="Y31" s="146"/>
      <c r="Z31" s="147" t="s">
        <v>30</v>
      </c>
      <c r="AA31" s="146"/>
      <c r="AB31" s="781" t="str">
        <f>IF(D31=0," ",(D31*H31))</f>
        <v> </v>
      </c>
      <c r="AC31" s="781"/>
      <c r="AD31" s="781"/>
    </row>
    <row r="32" spans="1:30" ht="9.75" customHeight="1">
      <c r="A32" s="146"/>
      <c r="B32" s="146"/>
      <c r="C32" s="146"/>
      <c r="D32" s="146"/>
      <c r="E32" s="148"/>
      <c r="F32" s="148"/>
      <c r="G32" s="146"/>
      <c r="H32" s="146"/>
      <c r="I32" s="146"/>
      <c r="J32" s="146"/>
      <c r="K32" s="154"/>
      <c r="L32" s="146"/>
      <c r="M32" s="146"/>
      <c r="N32" s="146"/>
      <c r="O32" s="146"/>
      <c r="P32" s="146"/>
      <c r="Q32" s="146"/>
      <c r="R32" s="154"/>
      <c r="S32" s="154"/>
      <c r="T32" s="154"/>
      <c r="U32" s="154"/>
      <c r="V32" s="154"/>
      <c r="W32" s="154"/>
      <c r="X32" s="146"/>
      <c r="Y32" s="146"/>
      <c r="Z32" s="146"/>
      <c r="AA32" s="146"/>
      <c r="AB32" s="146"/>
      <c r="AC32" s="146"/>
      <c r="AD32" s="296"/>
    </row>
    <row r="33" spans="1:30" ht="12.75">
      <c r="A33" s="146"/>
      <c r="B33" s="146" t="s">
        <v>89</v>
      </c>
      <c r="C33" s="146"/>
      <c r="D33" s="146"/>
      <c r="E33" s="148"/>
      <c r="F33" s="148"/>
      <c r="G33" s="146"/>
      <c r="H33" s="146"/>
      <c r="I33" s="146"/>
      <c r="J33" s="146"/>
      <c r="K33" s="154"/>
      <c r="L33" s="146"/>
      <c r="M33" s="146"/>
      <c r="N33" s="146"/>
      <c r="O33" s="146"/>
      <c r="P33" s="146"/>
      <c r="Q33" s="146"/>
      <c r="R33" s="154"/>
      <c r="S33" s="154"/>
      <c r="T33" s="154"/>
      <c r="U33" s="154"/>
      <c r="V33" s="154"/>
      <c r="W33" s="154"/>
      <c r="X33" s="146"/>
      <c r="Y33" s="146"/>
      <c r="Z33" s="146"/>
      <c r="AA33" s="146"/>
      <c r="AB33" s="146"/>
      <c r="AC33" s="146"/>
      <c r="AD33" s="296"/>
    </row>
    <row r="34" spans="1:30" ht="12.75">
      <c r="A34" s="146" t="s">
        <v>31</v>
      </c>
      <c r="B34" s="146"/>
      <c r="C34" s="146" t="s">
        <v>82</v>
      </c>
      <c r="D34" s="364">
        <f>clTotDaysESY</f>
        <v>0</v>
      </c>
      <c r="E34" s="146"/>
      <c r="F34" s="146" t="s">
        <v>419</v>
      </c>
      <c r="G34" s="146"/>
      <c r="H34" s="363">
        <f>clDayRateESY</f>
        <v>0</v>
      </c>
      <c r="I34" s="160" t="s">
        <v>26</v>
      </c>
      <c r="J34" s="146"/>
      <c r="K34" s="154"/>
      <c r="L34" s="146"/>
      <c r="M34" s="146"/>
      <c r="N34" s="146"/>
      <c r="O34" s="146"/>
      <c r="P34" s="146"/>
      <c r="Q34" s="146"/>
      <c r="R34" s="283"/>
      <c r="S34" s="285"/>
      <c r="T34" s="285"/>
      <c r="U34" s="285"/>
      <c r="V34" s="283"/>
      <c r="W34" s="283"/>
      <c r="X34" s="146"/>
      <c r="Y34" s="146"/>
      <c r="Z34" s="147" t="s">
        <v>32</v>
      </c>
      <c r="AA34" s="146"/>
      <c r="AB34" s="781" t="str">
        <f>IF(D34=0," ",(D34*H34))</f>
        <v> </v>
      </c>
      <c r="AC34" s="781"/>
      <c r="AD34" s="781"/>
    </row>
    <row r="35" spans="1:30" ht="9.75" customHeight="1">
      <c r="A35" s="146"/>
      <c r="B35" s="146"/>
      <c r="C35" s="146"/>
      <c r="D35" s="146"/>
      <c r="E35" s="146"/>
      <c r="F35" s="146"/>
      <c r="G35" s="146"/>
      <c r="H35" s="146"/>
      <c r="I35" s="154"/>
      <c r="J35" s="146"/>
      <c r="K35" s="146"/>
      <c r="L35" s="146"/>
      <c r="M35" s="146"/>
      <c r="N35" s="146"/>
      <c r="O35" s="146"/>
      <c r="P35" s="146"/>
      <c r="Q35" s="146"/>
      <c r="R35" s="286"/>
      <c r="S35" s="154"/>
      <c r="T35" s="154"/>
      <c r="U35" s="154"/>
      <c r="V35" s="285"/>
      <c r="W35" s="285"/>
      <c r="X35" s="146"/>
      <c r="Y35" s="146"/>
      <c r="Z35" s="146"/>
      <c r="AA35" s="146"/>
      <c r="AB35" s="146"/>
      <c r="AC35" s="146"/>
      <c r="AD35" s="146"/>
    </row>
    <row r="36" spans="1:30" ht="12.75">
      <c r="A36" s="232"/>
      <c r="B36" s="232" t="s">
        <v>294</v>
      </c>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row>
    <row r="37" spans="1:30" ht="27" customHeight="1">
      <c r="A37" s="162"/>
      <c r="B37" s="161" t="s">
        <v>83</v>
      </c>
      <c r="C37" s="843" t="s">
        <v>14</v>
      </c>
      <c r="D37" s="844"/>
      <c r="E37" s="844"/>
      <c r="F37" s="844"/>
      <c r="G37" s="844"/>
      <c r="H37" s="844"/>
      <c r="I37" s="844"/>
      <c r="J37" s="844"/>
      <c r="K37" s="844"/>
      <c r="L37" s="844"/>
      <c r="M37" s="845"/>
      <c r="N37" s="783" t="s">
        <v>295</v>
      </c>
      <c r="O37" s="784"/>
      <c r="P37" s="784"/>
      <c r="Q37" s="785"/>
      <c r="R37" s="783" t="s">
        <v>261</v>
      </c>
      <c r="S37" s="793"/>
      <c r="T37" s="783" t="s">
        <v>260</v>
      </c>
      <c r="U37" s="785"/>
      <c r="V37" s="783" t="s">
        <v>588</v>
      </c>
      <c r="W37" s="784"/>
      <c r="X37" s="783" t="s">
        <v>589</v>
      </c>
      <c r="Y37" s="784"/>
      <c r="Z37" s="785"/>
      <c r="AA37" s="843" t="s">
        <v>84</v>
      </c>
      <c r="AB37" s="861"/>
      <c r="AC37" s="861"/>
      <c r="AD37" s="862"/>
    </row>
    <row r="38" spans="1:30" ht="12.75">
      <c r="A38" s="162"/>
      <c r="B38" s="163">
        <v>20</v>
      </c>
      <c r="C38" s="794" t="str">
        <f>RelatedService20</f>
        <v>Audiology</v>
      </c>
      <c r="D38" s="795"/>
      <c r="E38" s="795"/>
      <c r="F38" s="795"/>
      <c r="G38" s="795"/>
      <c r="H38" s="795"/>
      <c r="I38" s="795"/>
      <c r="J38" s="795"/>
      <c r="K38" s="795"/>
      <c r="L38" s="795"/>
      <c r="M38" s="795"/>
      <c r="N38" s="788" t="str">
        <f>'Form 1B'!C11</f>
        <v>E</v>
      </c>
      <c r="O38" s="789"/>
      <c r="P38" s="789"/>
      <c r="Q38" s="790"/>
      <c r="R38" s="786" t="str">
        <f>IF('Form 1B'!F11&gt;0,"H",IF('Form 1B'!G11&gt;0,"F","H"))</f>
        <v>H</v>
      </c>
      <c r="S38" s="787"/>
      <c r="T38" s="786"/>
      <c r="U38" s="787"/>
      <c r="V38" s="777"/>
      <c r="W38" s="778"/>
      <c r="X38" s="771">
        <f>'Form 1B'!F11</f>
        <v>0</v>
      </c>
      <c r="Y38" s="772"/>
      <c r="Z38" s="773"/>
      <c r="AA38" s="774">
        <f>V38*Code20</f>
        <v>0</v>
      </c>
      <c r="AB38" s="775"/>
      <c r="AC38" s="775"/>
      <c r="AD38" s="776"/>
    </row>
    <row r="39" spans="1:30" ht="12.75">
      <c r="A39" s="162"/>
      <c r="B39" s="163">
        <v>26</v>
      </c>
      <c r="C39" s="794" t="s">
        <v>157</v>
      </c>
      <c r="D39" s="795"/>
      <c r="E39" s="795"/>
      <c r="F39" s="795"/>
      <c r="G39" s="795"/>
      <c r="H39" s="795"/>
      <c r="I39" s="795"/>
      <c r="J39" s="795"/>
      <c r="K39" s="795"/>
      <c r="L39" s="795"/>
      <c r="M39" s="795"/>
      <c r="N39" s="788" t="str">
        <f>'Form 1B'!C12</f>
        <v>E</v>
      </c>
      <c r="O39" s="789"/>
      <c r="P39" s="789"/>
      <c r="Q39" s="790"/>
      <c r="R39" s="786" t="str">
        <f>IF('Form 1B'!F12&gt;0,"H",IF('Form 1B'!G12&gt;0,"F","H"))</f>
        <v>H</v>
      </c>
      <c r="S39" s="787"/>
      <c r="T39" s="786"/>
      <c r="U39" s="787"/>
      <c r="V39" s="777"/>
      <c r="W39" s="778"/>
      <c r="X39" s="771">
        <f>'Form 1B'!F12</f>
        <v>0</v>
      </c>
      <c r="Y39" s="772"/>
      <c r="Z39" s="773"/>
      <c r="AA39" s="774">
        <f aca="true" t="shared" si="0" ref="AA39:AA62">X39*V39</f>
        <v>0</v>
      </c>
      <c r="AB39" s="775"/>
      <c r="AC39" s="775"/>
      <c r="AD39" s="776"/>
    </row>
    <row r="40" spans="1:30" ht="12.75">
      <c r="A40" s="162"/>
      <c r="B40" s="163">
        <v>36</v>
      </c>
      <c r="C40" s="794" t="s">
        <v>456</v>
      </c>
      <c r="D40" s="795"/>
      <c r="E40" s="795"/>
      <c r="F40" s="795"/>
      <c r="G40" s="795"/>
      <c r="H40" s="795"/>
      <c r="I40" s="795"/>
      <c r="J40" s="795"/>
      <c r="K40" s="795"/>
      <c r="L40" s="795"/>
      <c r="M40" s="795"/>
      <c r="N40" s="788" t="s">
        <v>420</v>
      </c>
      <c r="O40" s="789"/>
      <c r="P40" s="789"/>
      <c r="Q40" s="790"/>
      <c r="R40" s="786" t="str">
        <f>IF('Form 1B'!F13&gt;0,"H",IF('Form 1B'!G13&gt;0,"F","H"))</f>
        <v>H</v>
      </c>
      <c r="S40" s="787"/>
      <c r="T40" s="786"/>
      <c r="U40" s="787"/>
      <c r="V40" s="777"/>
      <c r="W40" s="778"/>
      <c r="X40" s="771">
        <f>'Form 1B'!F13</f>
        <v>0</v>
      </c>
      <c r="Y40" s="772"/>
      <c r="Z40" s="773"/>
      <c r="AA40" s="774">
        <f t="shared" si="0"/>
        <v>0</v>
      </c>
      <c r="AB40" s="775"/>
      <c r="AC40" s="775"/>
      <c r="AD40" s="776"/>
    </row>
    <row r="41" spans="1:30" ht="12.75">
      <c r="A41" s="162"/>
      <c r="B41" s="163">
        <v>27</v>
      </c>
      <c r="C41" s="794" t="s">
        <v>33</v>
      </c>
      <c r="D41" s="795"/>
      <c r="E41" s="795"/>
      <c r="F41" s="795"/>
      <c r="G41" s="795"/>
      <c r="H41" s="795"/>
      <c r="I41" s="795"/>
      <c r="J41" s="795"/>
      <c r="K41" s="795"/>
      <c r="L41" s="795"/>
      <c r="M41" s="795"/>
      <c r="N41" s="788" t="str">
        <f>'Form 1B'!C14</f>
        <v>E</v>
      </c>
      <c r="O41" s="789"/>
      <c r="P41" s="789"/>
      <c r="Q41" s="790"/>
      <c r="R41" s="786" t="str">
        <f>IF('Form 1B'!F14&gt;0,"H",IF('Form 1B'!G14&gt;0,"F","H"))</f>
        <v>H</v>
      </c>
      <c r="S41" s="787"/>
      <c r="T41" s="786"/>
      <c r="U41" s="787"/>
      <c r="V41" s="777"/>
      <c r="W41" s="778"/>
      <c r="X41" s="771">
        <f>'Form 1B'!F14</f>
        <v>0</v>
      </c>
      <c r="Y41" s="772"/>
      <c r="Z41" s="773"/>
      <c r="AA41" s="774">
        <f t="shared" si="0"/>
        <v>0</v>
      </c>
      <c r="AB41" s="775"/>
      <c r="AC41" s="775"/>
      <c r="AD41" s="776"/>
    </row>
    <row r="42" spans="1:30" ht="12.75">
      <c r="A42" s="162"/>
      <c r="B42" s="163">
        <v>22</v>
      </c>
      <c r="C42" s="794" t="s">
        <v>34</v>
      </c>
      <c r="D42" s="795"/>
      <c r="E42" s="795"/>
      <c r="F42" s="795"/>
      <c r="G42" s="795"/>
      <c r="H42" s="795"/>
      <c r="I42" s="795"/>
      <c r="J42" s="795"/>
      <c r="K42" s="795"/>
      <c r="L42" s="795"/>
      <c r="M42" s="795"/>
      <c r="N42" s="788" t="str">
        <f>'Form 1B'!C15</f>
        <v>E</v>
      </c>
      <c r="O42" s="789"/>
      <c r="P42" s="789"/>
      <c r="Q42" s="790"/>
      <c r="R42" s="786" t="str">
        <f>IF('Form 1B'!F15&gt;0,"H",IF('Form 1B'!G15&gt;0,"F","H"))</f>
        <v>H</v>
      </c>
      <c r="S42" s="787"/>
      <c r="T42" s="786"/>
      <c r="U42" s="787"/>
      <c r="V42" s="777"/>
      <c r="W42" s="778"/>
      <c r="X42" s="771">
        <f>'Form 1B'!F15</f>
        <v>0</v>
      </c>
      <c r="Y42" s="772"/>
      <c r="Z42" s="773"/>
      <c r="AA42" s="774">
        <f t="shared" si="0"/>
        <v>0</v>
      </c>
      <c r="AB42" s="775"/>
      <c r="AC42" s="775"/>
      <c r="AD42" s="776"/>
    </row>
    <row r="43" spans="1:30" ht="12.75">
      <c r="A43" s="162"/>
      <c r="B43" s="163">
        <v>35</v>
      </c>
      <c r="C43" s="794" t="s">
        <v>35</v>
      </c>
      <c r="D43" s="795"/>
      <c r="E43" s="795"/>
      <c r="F43" s="795"/>
      <c r="G43" s="795"/>
      <c r="H43" s="795"/>
      <c r="I43" s="795"/>
      <c r="J43" s="795"/>
      <c r="K43" s="795"/>
      <c r="L43" s="795"/>
      <c r="M43" s="795"/>
      <c r="N43" s="788" t="str">
        <f>'Form 1B'!C16</f>
        <v>E</v>
      </c>
      <c r="O43" s="789"/>
      <c r="P43" s="789"/>
      <c r="Q43" s="790"/>
      <c r="R43" s="786" t="str">
        <f>IF('Form 1B'!F16&gt;0,"H",IF('Form 1B'!G16&gt;0,"F","H"))</f>
        <v>H</v>
      </c>
      <c r="S43" s="787"/>
      <c r="T43" s="786"/>
      <c r="U43" s="787"/>
      <c r="V43" s="777"/>
      <c r="W43" s="778"/>
      <c r="X43" s="771">
        <f>'Form 1B'!F16</f>
        <v>0</v>
      </c>
      <c r="Y43" s="772"/>
      <c r="Z43" s="773"/>
      <c r="AA43" s="774">
        <f t="shared" si="0"/>
        <v>0</v>
      </c>
      <c r="AB43" s="775"/>
      <c r="AC43" s="775"/>
      <c r="AD43" s="776"/>
    </row>
    <row r="44" spans="1:30" ht="12.75">
      <c r="A44" s="162"/>
      <c r="B44" s="163">
        <v>30</v>
      </c>
      <c r="C44" s="794" t="s">
        <v>36</v>
      </c>
      <c r="D44" s="795"/>
      <c r="E44" s="795"/>
      <c r="F44" s="795"/>
      <c r="G44" s="795"/>
      <c r="H44" s="795"/>
      <c r="I44" s="795"/>
      <c r="J44" s="795"/>
      <c r="K44" s="795"/>
      <c r="L44" s="795"/>
      <c r="M44" s="795"/>
      <c r="N44" s="788" t="str">
        <f>'Form 1B'!C17</f>
        <v>E</v>
      </c>
      <c r="O44" s="789"/>
      <c r="P44" s="789"/>
      <c r="Q44" s="790"/>
      <c r="R44" s="786" t="str">
        <f>IF('Form 1B'!F17&gt;0,"H",IF('Form 1B'!G17&gt;0,"F","H"))</f>
        <v>H</v>
      </c>
      <c r="S44" s="787"/>
      <c r="T44" s="786"/>
      <c r="U44" s="787"/>
      <c r="V44" s="777"/>
      <c r="W44" s="778"/>
      <c r="X44" s="771">
        <f>'Form 1B'!F17</f>
        <v>0</v>
      </c>
      <c r="Y44" s="772"/>
      <c r="Z44" s="773"/>
      <c r="AA44" s="774">
        <f t="shared" si="0"/>
        <v>0</v>
      </c>
      <c r="AB44" s="775"/>
      <c r="AC44" s="775"/>
      <c r="AD44" s="776"/>
    </row>
    <row r="45" spans="1:30" ht="12.75">
      <c r="A45" s="162"/>
      <c r="B45" s="163">
        <v>23</v>
      </c>
      <c r="C45" s="794" t="s">
        <v>37</v>
      </c>
      <c r="D45" s="795"/>
      <c r="E45" s="795"/>
      <c r="F45" s="795"/>
      <c r="G45" s="795"/>
      <c r="H45" s="795"/>
      <c r="I45" s="795"/>
      <c r="J45" s="795"/>
      <c r="K45" s="795"/>
      <c r="L45" s="795"/>
      <c r="M45" s="795"/>
      <c r="N45" s="788" t="str">
        <f>'Form 1B'!C18</f>
        <v>E</v>
      </c>
      <c r="O45" s="789"/>
      <c r="P45" s="789"/>
      <c r="Q45" s="790"/>
      <c r="R45" s="786" t="str">
        <f>IF('Form 1B'!F18&gt;0,"H",IF('Form 1B'!G18&gt;0,"F","H"))</f>
        <v>H</v>
      </c>
      <c r="S45" s="787"/>
      <c r="T45" s="786"/>
      <c r="U45" s="787"/>
      <c r="V45" s="777"/>
      <c r="W45" s="778"/>
      <c r="X45" s="771">
        <f>'Form 1B'!F18</f>
        <v>0</v>
      </c>
      <c r="Y45" s="772"/>
      <c r="Z45" s="773"/>
      <c r="AA45" s="774">
        <f t="shared" si="0"/>
        <v>0</v>
      </c>
      <c r="AB45" s="775"/>
      <c r="AC45" s="775"/>
      <c r="AD45" s="776"/>
    </row>
    <row r="46" spans="1:30" ht="12.75">
      <c r="A46" s="162"/>
      <c r="B46" s="163">
        <v>21</v>
      </c>
      <c r="C46" s="794" t="s">
        <v>38</v>
      </c>
      <c r="D46" s="795"/>
      <c r="E46" s="795"/>
      <c r="F46" s="795"/>
      <c r="G46" s="795"/>
      <c r="H46" s="795"/>
      <c r="I46" s="795"/>
      <c r="J46" s="795"/>
      <c r="K46" s="795"/>
      <c r="L46" s="795"/>
      <c r="M46" s="795"/>
      <c r="N46" s="788" t="str">
        <f>'Form 1B'!C19</f>
        <v>E</v>
      </c>
      <c r="O46" s="789"/>
      <c r="P46" s="789"/>
      <c r="Q46" s="790"/>
      <c r="R46" s="786" t="str">
        <f>IF('Form 1B'!F19&gt;0,"H",IF('Form 1B'!G19&gt;0,"F","H"))</f>
        <v>H</v>
      </c>
      <c r="S46" s="787"/>
      <c r="T46" s="786"/>
      <c r="U46" s="787"/>
      <c r="V46" s="777"/>
      <c r="W46" s="778"/>
      <c r="X46" s="771">
        <f>'Form 1B'!F19</f>
        <v>0</v>
      </c>
      <c r="Y46" s="772"/>
      <c r="Z46" s="773"/>
      <c r="AA46" s="774">
        <f t="shared" si="0"/>
        <v>0</v>
      </c>
      <c r="AB46" s="775"/>
      <c r="AC46" s="775"/>
      <c r="AD46" s="776"/>
    </row>
    <row r="47" spans="1:30" ht="12.75">
      <c r="A47" s="162"/>
      <c r="B47" s="163">
        <v>24</v>
      </c>
      <c r="C47" s="794" t="s">
        <v>39</v>
      </c>
      <c r="D47" s="795"/>
      <c r="E47" s="795"/>
      <c r="F47" s="795"/>
      <c r="G47" s="795"/>
      <c r="H47" s="795"/>
      <c r="I47" s="795"/>
      <c r="J47" s="795"/>
      <c r="K47" s="795"/>
      <c r="L47" s="795"/>
      <c r="M47" s="795"/>
      <c r="N47" s="788" t="str">
        <f>'Form 1B'!C20</f>
        <v>E</v>
      </c>
      <c r="O47" s="789"/>
      <c r="P47" s="789"/>
      <c r="Q47" s="790"/>
      <c r="R47" s="786" t="str">
        <f>IF('Form 1B'!F20&gt;0,"H",IF('Form 1B'!G20&gt;0,"F","H"))</f>
        <v>H</v>
      </c>
      <c r="S47" s="787"/>
      <c r="T47" s="786"/>
      <c r="U47" s="787"/>
      <c r="V47" s="777"/>
      <c r="W47" s="778"/>
      <c r="X47" s="771">
        <f>'Form 1B'!F20</f>
        <v>0</v>
      </c>
      <c r="Y47" s="772"/>
      <c r="Z47" s="773"/>
      <c r="AA47" s="774">
        <f t="shared" si="0"/>
        <v>0</v>
      </c>
      <c r="AB47" s="775"/>
      <c r="AC47" s="775"/>
      <c r="AD47" s="776"/>
    </row>
    <row r="48" spans="1:30" ht="12.75">
      <c r="A48" s="162"/>
      <c r="B48" s="163">
        <v>34</v>
      </c>
      <c r="C48" s="794" t="s">
        <v>40</v>
      </c>
      <c r="D48" s="795"/>
      <c r="E48" s="795"/>
      <c r="F48" s="795"/>
      <c r="G48" s="795"/>
      <c r="H48" s="795"/>
      <c r="I48" s="795"/>
      <c r="J48" s="795"/>
      <c r="K48" s="795"/>
      <c r="L48" s="795"/>
      <c r="M48" s="795"/>
      <c r="N48" s="788" t="str">
        <f>'Form 1B'!C21</f>
        <v>E</v>
      </c>
      <c r="O48" s="789"/>
      <c r="P48" s="789"/>
      <c r="Q48" s="790"/>
      <c r="R48" s="786" t="str">
        <f>IF('Form 1B'!F21&gt;0,"H",IF('Form 1B'!G21&gt;0,"F","H"))</f>
        <v>H</v>
      </c>
      <c r="S48" s="787"/>
      <c r="T48" s="786"/>
      <c r="U48" s="787"/>
      <c r="V48" s="777"/>
      <c r="W48" s="778"/>
      <c r="X48" s="771">
        <f>'Form 1B'!F21</f>
        <v>0</v>
      </c>
      <c r="Y48" s="772"/>
      <c r="Z48" s="773"/>
      <c r="AA48" s="774">
        <f t="shared" si="0"/>
        <v>0</v>
      </c>
      <c r="AB48" s="775"/>
      <c r="AC48" s="775"/>
      <c r="AD48" s="776"/>
    </row>
    <row r="49" spans="1:30" ht="12.75">
      <c r="A49" s="162"/>
      <c r="B49" s="163">
        <v>28</v>
      </c>
      <c r="C49" s="794" t="s">
        <v>41</v>
      </c>
      <c r="D49" s="795"/>
      <c r="E49" s="795"/>
      <c r="F49" s="795"/>
      <c r="G49" s="795"/>
      <c r="H49" s="795"/>
      <c r="I49" s="795"/>
      <c r="J49" s="795"/>
      <c r="K49" s="795"/>
      <c r="L49" s="795"/>
      <c r="M49" s="795"/>
      <c r="N49" s="788" t="str">
        <f>'Form 1B'!C22</f>
        <v>E</v>
      </c>
      <c r="O49" s="789"/>
      <c r="P49" s="789"/>
      <c r="Q49" s="790"/>
      <c r="R49" s="786" t="str">
        <f>IF('Form 1B'!F22&gt;0,"H",IF('Form 1B'!G22&gt;0,"F","H"))</f>
        <v>H</v>
      </c>
      <c r="S49" s="787"/>
      <c r="T49" s="786"/>
      <c r="U49" s="787"/>
      <c r="V49" s="777"/>
      <c r="W49" s="778"/>
      <c r="X49" s="771">
        <f>'Form 1B'!F22</f>
        <v>0</v>
      </c>
      <c r="Y49" s="772"/>
      <c r="Z49" s="773"/>
      <c r="AA49" s="774">
        <f t="shared" si="0"/>
        <v>0</v>
      </c>
      <c r="AB49" s="775"/>
      <c r="AC49" s="775"/>
      <c r="AD49" s="776"/>
    </row>
    <row r="50" spans="1:30" ht="12.75">
      <c r="A50" s="162"/>
      <c r="B50" s="163">
        <v>29</v>
      </c>
      <c r="C50" s="794" t="s">
        <v>42</v>
      </c>
      <c r="D50" s="795"/>
      <c r="E50" s="795"/>
      <c r="F50" s="795"/>
      <c r="G50" s="795"/>
      <c r="H50" s="795"/>
      <c r="I50" s="795"/>
      <c r="J50" s="795"/>
      <c r="K50" s="795"/>
      <c r="L50" s="795"/>
      <c r="M50" s="795"/>
      <c r="N50" s="788" t="str">
        <f>'Form 1B'!C23</f>
        <v>E</v>
      </c>
      <c r="O50" s="789"/>
      <c r="P50" s="789"/>
      <c r="Q50" s="790"/>
      <c r="R50" s="786" t="str">
        <f>IF('Form 1B'!F23&gt;0,"H",IF('Form 1B'!G23&gt;0,"F","H"))</f>
        <v>H</v>
      </c>
      <c r="S50" s="787"/>
      <c r="T50" s="786"/>
      <c r="U50" s="787"/>
      <c r="V50" s="777"/>
      <c r="W50" s="778"/>
      <c r="X50" s="771">
        <f>'Form 1B'!F23</f>
        <v>0</v>
      </c>
      <c r="Y50" s="772"/>
      <c r="Z50" s="773"/>
      <c r="AA50" s="774">
        <f t="shared" si="0"/>
        <v>0</v>
      </c>
      <c r="AB50" s="775"/>
      <c r="AC50" s="775"/>
      <c r="AD50" s="776"/>
    </row>
    <row r="51" spans="1:30" ht="12.75">
      <c r="A51" s="162"/>
      <c r="B51" s="163">
        <v>13</v>
      </c>
      <c r="C51" s="794" t="s">
        <v>43</v>
      </c>
      <c r="D51" s="795"/>
      <c r="E51" s="795"/>
      <c r="F51" s="795"/>
      <c r="G51" s="795"/>
      <c r="H51" s="795"/>
      <c r="I51" s="795"/>
      <c r="J51" s="795"/>
      <c r="K51" s="795"/>
      <c r="L51" s="795"/>
      <c r="M51" s="795"/>
      <c r="N51" s="788" t="str">
        <f>'Form 1B'!C24</f>
        <v>E</v>
      </c>
      <c r="O51" s="789"/>
      <c r="P51" s="789"/>
      <c r="Q51" s="790"/>
      <c r="R51" s="786" t="str">
        <f>IF('Form 1B'!F24&gt;0,"H",IF('Form 1B'!G24&gt;0,"F","H"))</f>
        <v>H</v>
      </c>
      <c r="S51" s="787"/>
      <c r="T51" s="786"/>
      <c r="U51" s="787"/>
      <c r="V51" s="777"/>
      <c r="W51" s="778"/>
      <c r="X51" s="771">
        <f>'Form 1B'!F24</f>
        <v>0</v>
      </c>
      <c r="Y51" s="772"/>
      <c r="Z51" s="773"/>
      <c r="AA51" s="774">
        <f t="shared" si="0"/>
        <v>0</v>
      </c>
      <c r="AB51" s="775"/>
      <c r="AC51" s="775"/>
      <c r="AD51" s="776"/>
    </row>
    <row r="52" spans="1:30" ht="12.75">
      <c r="A52" s="162"/>
      <c r="B52" s="163">
        <v>41</v>
      </c>
      <c r="C52" s="803" t="s">
        <v>158</v>
      </c>
      <c r="D52" s="804"/>
      <c r="E52" s="804"/>
      <c r="F52" s="804"/>
      <c r="G52" s="804"/>
      <c r="H52" s="804"/>
      <c r="I52" s="804"/>
      <c r="J52" s="804"/>
      <c r="K52" s="804"/>
      <c r="L52" s="804"/>
      <c r="M52" s="805"/>
      <c r="N52" s="788" t="str">
        <f>'Form 1B'!C26</f>
        <v>E</v>
      </c>
      <c r="O52" s="789"/>
      <c r="P52" s="789"/>
      <c r="Q52" s="790"/>
      <c r="R52" s="786" t="str">
        <f>IF('Form 1B'!F26&gt;0,"H",IF('Form 1B'!G26&gt;0,"F","H"))</f>
        <v>H</v>
      </c>
      <c r="S52" s="787"/>
      <c r="T52" s="786"/>
      <c r="U52" s="787"/>
      <c r="V52" s="777"/>
      <c r="W52" s="778"/>
      <c r="X52" s="771">
        <f>'Form 1B'!F26</f>
        <v>0</v>
      </c>
      <c r="Y52" s="772"/>
      <c r="Z52" s="773"/>
      <c r="AA52" s="774">
        <f t="shared" si="0"/>
        <v>0</v>
      </c>
      <c r="AB52" s="775"/>
      <c r="AC52" s="775"/>
      <c r="AD52" s="776"/>
    </row>
    <row r="53" spans="1:30" ht="12.75">
      <c r="A53" s="146"/>
      <c r="B53" s="163">
        <v>42</v>
      </c>
      <c r="C53" s="794" t="s">
        <v>159</v>
      </c>
      <c r="D53" s="795"/>
      <c r="E53" s="795"/>
      <c r="F53" s="795"/>
      <c r="G53" s="795"/>
      <c r="H53" s="795"/>
      <c r="I53" s="795"/>
      <c r="J53" s="795"/>
      <c r="K53" s="795"/>
      <c r="L53" s="795"/>
      <c r="M53" s="795"/>
      <c r="N53" s="788" t="s">
        <v>421</v>
      </c>
      <c r="O53" s="789"/>
      <c r="P53" s="789"/>
      <c r="Q53" s="790"/>
      <c r="R53" s="786" t="str">
        <f>IF('Form 1B'!F27&gt;0,"H",IF('Form 1B'!G27&gt;0,"F","H"))</f>
        <v>H</v>
      </c>
      <c r="S53" s="787"/>
      <c r="T53" s="786"/>
      <c r="U53" s="787"/>
      <c r="V53" s="777"/>
      <c r="W53" s="778"/>
      <c r="X53" s="771">
        <f>'Form 1B'!F27</f>
        <v>0</v>
      </c>
      <c r="Y53" s="772"/>
      <c r="Z53" s="773"/>
      <c r="AA53" s="774">
        <f t="shared" si="0"/>
        <v>0</v>
      </c>
      <c r="AB53" s="775"/>
      <c r="AC53" s="775"/>
      <c r="AD53" s="776"/>
    </row>
    <row r="54" spans="1:30" ht="12.75">
      <c r="A54" s="146"/>
      <c r="B54" s="163">
        <v>43</v>
      </c>
      <c r="C54" s="803" t="s">
        <v>90</v>
      </c>
      <c r="D54" s="804"/>
      <c r="E54" s="804"/>
      <c r="F54" s="804"/>
      <c r="G54" s="804"/>
      <c r="H54" s="804"/>
      <c r="I54" s="804"/>
      <c r="J54" s="804"/>
      <c r="K54" s="804"/>
      <c r="L54" s="804"/>
      <c r="M54" s="805"/>
      <c r="N54" s="788" t="str">
        <f>'Form 1B'!C28</f>
        <v>E</v>
      </c>
      <c r="O54" s="789"/>
      <c r="P54" s="789"/>
      <c r="Q54" s="790"/>
      <c r="R54" s="786" t="str">
        <f>IF('Form 1B'!F28&gt;0,"H",IF('Form 1B'!G28&gt;0,"F","H"))</f>
        <v>H</v>
      </c>
      <c r="S54" s="787"/>
      <c r="T54" s="786"/>
      <c r="U54" s="787"/>
      <c r="V54" s="777"/>
      <c r="W54" s="778"/>
      <c r="X54" s="771">
        <f>'Form 1B'!F28</f>
        <v>0</v>
      </c>
      <c r="Y54" s="772"/>
      <c r="Z54" s="773"/>
      <c r="AA54" s="774">
        <f t="shared" si="0"/>
        <v>0</v>
      </c>
      <c r="AB54" s="775"/>
      <c r="AC54" s="775"/>
      <c r="AD54" s="776"/>
    </row>
    <row r="55" spans="1:30" ht="12.75">
      <c r="A55" s="146"/>
      <c r="B55" s="163">
        <v>45</v>
      </c>
      <c r="C55" s="803" t="s">
        <v>88</v>
      </c>
      <c r="D55" s="804"/>
      <c r="E55" s="804"/>
      <c r="F55" s="804"/>
      <c r="G55" s="804"/>
      <c r="H55" s="804"/>
      <c r="I55" s="804"/>
      <c r="J55" s="804"/>
      <c r="K55" s="804"/>
      <c r="L55" s="804"/>
      <c r="M55" s="805"/>
      <c r="N55" s="788" t="str">
        <f>'Form 1B'!C29</f>
        <v>E</v>
      </c>
      <c r="O55" s="789"/>
      <c r="P55" s="789"/>
      <c r="Q55" s="790"/>
      <c r="R55" s="786" t="str">
        <f>IF('Form 1B'!F29&gt;0,"H",IF('Form 1B'!G29&gt;0,"F","H"))</f>
        <v>H</v>
      </c>
      <c r="S55" s="787"/>
      <c r="T55" s="786"/>
      <c r="U55" s="787"/>
      <c r="V55" s="777"/>
      <c r="W55" s="778"/>
      <c r="X55" s="771">
        <f>'Form 1B'!F29</f>
        <v>0</v>
      </c>
      <c r="Y55" s="772"/>
      <c r="Z55" s="773"/>
      <c r="AA55" s="774">
        <f t="shared" si="0"/>
        <v>0</v>
      </c>
      <c r="AB55" s="775"/>
      <c r="AC55" s="775"/>
      <c r="AD55" s="776"/>
    </row>
    <row r="56" spans="1:30" ht="12.75">
      <c r="A56" s="146"/>
      <c r="B56" s="163" t="s">
        <v>91</v>
      </c>
      <c r="C56" s="803">
        <f>'Form 1B'!B30</f>
        <v>0</v>
      </c>
      <c r="D56" s="804"/>
      <c r="E56" s="804"/>
      <c r="F56" s="804"/>
      <c r="G56" s="804"/>
      <c r="H56" s="804"/>
      <c r="I56" s="804"/>
      <c r="J56" s="804"/>
      <c r="K56" s="804"/>
      <c r="L56" s="804"/>
      <c r="M56" s="805"/>
      <c r="N56" s="788">
        <f>'Form 1B'!C30</f>
        <v>0</v>
      </c>
      <c r="O56" s="789"/>
      <c r="P56" s="789"/>
      <c r="Q56" s="790"/>
      <c r="R56" s="786" t="str">
        <f>IF('Form 1B'!F30&gt;0,"H",IF('Form 1B'!G30&gt;0,"F","H"))</f>
        <v>H</v>
      </c>
      <c r="S56" s="787"/>
      <c r="T56" s="786"/>
      <c r="U56" s="787"/>
      <c r="V56" s="777"/>
      <c r="W56" s="778"/>
      <c r="X56" s="771">
        <f>'Form 1B'!F30</f>
        <v>0</v>
      </c>
      <c r="Y56" s="772"/>
      <c r="Z56" s="773"/>
      <c r="AA56" s="774">
        <f t="shared" si="0"/>
        <v>0</v>
      </c>
      <c r="AB56" s="775"/>
      <c r="AC56" s="775"/>
      <c r="AD56" s="776"/>
    </row>
    <row r="57" spans="1:30" ht="12.75">
      <c r="A57" s="146"/>
      <c r="B57" s="163" t="s">
        <v>92</v>
      </c>
      <c r="C57" s="803">
        <f>'Form 1B'!B31</f>
        <v>0</v>
      </c>
      <c r="D57" s="804"/>
      <c r="E57" s="804"/>
      <c r="F57" s="804"/>
      <c r="G57" s="804"/>
      <c r="H57" s="804"/>
      <c r="I57" s="804"/>
      <c r="J57" s="804"/>
      <c r="K57" s="804"/>
      <c r="L57" s="804"/>
      <c r="M57" s="805"/>
      <c r="N57" s="788">
        <f>'Form 1B'!C31</f>
        <v>0</v>
      </c>
      <c r="O57" s="789"/>
      <c r="P57" s="789"/>
      <c r="Q57" s="790"/>
      <c r="R57" s="786" t="str">
        <f>IF('Form 1B'!F31&gt;0,"H",IF('Form 1B'!G31&gt;0,"F","H"))</f>
        <v>H</v>
      </c>
      <c r="S57" s="787"/>
      <c r="T57" s="786"/>
      <c r="U57" s="787"/>
      <c r="V57" s="777"/>
      <c r="W57" s="778"/>
      <c r="X57" s="771">
        <f>'Form 1B'!F31</f>
        <v>0</v>
      </c>
      <c r="Y57" s="772"/>
      <c r="Z57" s="773"/>
      <c r="AA57" s="774">
        <f t="shared" si="0"/>
        <v>0</v>
      </c>
      <c r="AB57" s="775"/>
      <c r="AC57" s="775"/>
      <c r="AD57" s="776"/>
    </row>
    <row r="58" spans="1:30" ht="12.75">
      <c r="A58" s="146"/>
      <c r="B58" s="163" t="s">
        <v>93</v>
      </c>
      <c r="C58" s="803">
        <f>'Form 1B'!B32</f>
        <v>0</v>
      </c>
      <c r="D58" s="804"/>
      <c r="E58" s="804"/>
      <c r="F58" s="804"/>
      <c r="G58" s="804"/>
      <c r="H58" s="804"/>
      <c r="I58" s="804"/>
      <c r="J58" s="804"/>
      <c r="K58" s="804"/>
      <c r="L58" s="804"/>
      <c r="M58" s="805"/>
      <c r="N58" s="788">
        <f>'Form 1B'!C32</f>
        <v>0</v>
      </c>
      <c r="O58" s="789"/>
      <c r="P58" s="789"/>
      <c r="Q58" s="790"/>
      <c r="R58" s="786" t="str">
        <f>IF('Form 1B'!F33&gt;0,"H",IF('Form 1B'!G33&gt;0,"F","H"))</f>
        <v>H</v>
      </c>
      <c r="S58" s="787"/>
      <c r="T58" s="786"/>
      <c r="U58" s="787"/>
      <c r="V58" s="777"/>
      <c r="W58" s="778"/>
      <c r="X58" s="771">
        <f>'Form 1B'!F32</f>
        <v>0</v>
      </c>
      <c r="Y58" s="772"/>
      <c r="Z58" s="773"/>
      <c r="AA58" s="774">
        <f t="shared" si="0"/>
        <v>0</v>
      </c>
      <c r="AB58" s="775"/>
      <c r="AC58" s="775"/>
      <c r="AD58" s="776"/>
    </row>
    <row r="59" spans="1:30" ht="12.75">
      <c r="A59" s="146"/>
      <c r="B59" s="163" t="s">
        <v>96</v>
      </c>
      <c r="C59" s="803">
        <f>'Form 1B'!B33</f>
        <v>0</v>
      </c>
      <c r="D59" s="804"/>
      <c r="E59" s="804"/>
      <c r="F59" s="804"/>
      <c r="G59" s="804"/>
      <c r="H59" s="804"/>
      <c r="I59" s="804"/>
      <c r="J59" s="804"/>
      <c r="K59" s="804"/>
      <c r="L59" s="804"/>
      <c r="M59" s="805"/>
      <c r="N59" s="788">
        <f>'Form 1B'!C33</f>
        <v>0</v>
      </c>
      <c r="O59" s="789"/>
      <c r="P59" s="789"/>
      <c r="Q59" s="790"/>
      <c r="R59" s="786" t="str">
        <f>IF('Form 1B'!F34&gt;0,"H",IF('Form 1B'!G34&gt;0,"F","H"))</f>
        <v>H</v>
      </c>
      <c r="S59" s="787"/>
      <c r="T59" s="786"/>
      <c r="U59" s="787"/>
      <c r="V59" s="777"/>
      <c r="W59" s="778"/>
      <c r="X59" s="771">
        <f>'Form 1B'!F33</f>
        <v>0</v>
      </c>
      <c r="Y59" s="772"/>
      <c r="Z59" s="773"/>
      <c r="AA59" s="774">
        <f t="shared" si="0"/>
        <v>0</v>
      </c>
      <c r="AB59" s="775"/>
      <c r="AC59" s="775"/>
      <c r="AD59" s="776"/>
    </row>
    <row r="60" spans="1:30" ht="12.75">
      <c r="A60" s="146"/>
      <c r="B60" s="163" t="s">
        <v>179</v>
      </c>
      <c r="C60" s="803">
        <f>'Form 1B'!B34</f>
        <v>0</v>
      </c>
      <c r="D60" s="804"/>
      <c r="E60" s="804"/>
      <c r="F60" s="804"/>
      <c r="G60" s="804"/>
      <c r="H60" s="804"/>
      <c r="I60" s="804"/>
      <c r="J60" s="804"/>
      <c r="K60" s="804"/>
      <c r="L60" s="804"/>
      <c r="M60" s="805"/>
      <c r="N60" s="823">
        <f>'Form 1B'!C34</f>
        <v>0</v>
      </c>
      <c r="O60" s="789"/>
      <c r="P60" s="789"/>
      <c r="Q60" s="790"/>
      <c r="R60" s="786" t="str">
        <f>IF('Form 1B'!F35&gt;0,"H",IF('Form 1B'!G35&gt;0,"F","H"))</f>
        <v>H</v>
      </c>
      <c r="S60" s="787"/>
      <c r="T60" s="786"/>
      <c r="U60" s="787"/>
      <c r="V60" s="777"/>
      <c r="W60" s="778"/>
      <c r="X60" s="771">
        <f>'Form 1B'!F34</f>
        <v>0</v>
      </c>
      <c r="Y60" s="772"/>
      <c r="Z60" s="773"/>
      <c r="AA60" s="774">
        <f t="shared" si="0"/>
        <v>0</v>
      </c>
      <c r="AB60" s="775"/>
      <c r="AC60" s="775"/>
      <c r="AD60" s="776"/>
    </row>
    <row r="61" spans="1:30" ht="12.75">
      <c r="A61" s="146"/>
      <c r="B61" s="163" t="s">
        <v>457</v>
      </c>
      <c r="C61" s="803">
        <f>'Form 1B'!B35</f>
        <v>0</v>
      </c>
      <c r="D61" s="804"/>
      <c r="E61" s="804"/>
      <c r="F61" s="804"/>
      <c r="G61" s="804"/>
      <c r="H61" s="804"/>
      <c r="I61" s="804"/>
      <c r="J61" s="804"/>
      <c r="K61" s="804"/>
      <c r="L61" s="804"/>
      <c r="M61" s="805"/>
      <c r="N61" s="788">
        <f>'Form 1B'!C35</f>
        <v>0</v>
      </c>
      <c r="O61" s="789"/>
      <c r="P61" s="789"/>
      <c r="Q61" s="790"/>
      <c r="R61" s="786" t="str">
        <f>IF('Form 1B'!F37&gt;0,"H",IF('Form 1B'!G37&gt;0,"F","H"))</f>
        <v>F</v>
      </c>
      <c r="S61" s="787"/>
      <c r="T61" s="786"/>
      <c r="U61" s="787"/>
      <c r="V61" s="777"/>
      <c r="W61" s="778"/>
      <c r="X61" s="771">
        <f>'Form 1B'!F35</f>
        <v>0</v>
      </c>
      <c r="Y61" s="772"/>
      <c r="Z61" s="773"/>
      <c r="AA61" s="774">
        <f t="shared" si="0"/>
        <v>0</v>
      </c>
      <c r="AB61" s="775"/>
      <c r="AC61" s="775"/>
      <c r="AD61" s="776"/>
    </row>
    <row r="62" spans="1:30" ht="12.75">
      <c r="A62" s="146"/>
      <c r="B62" s="163" t="s">
        <v>458</v>
      </c>
      <c r="C62" s="803">
        <f>'Form 1B'!B37</f>
        <v>0</v>
      </c>
      <c r="D62" s="804"/>
      <c r="E62" s="804"/>
      <c r="F62" s="804"/>
      <c r="G62" s="804"/>
      <c r="H62" s="804"/>
      <c r="I62" s="804"/>
      <c r="J62" s="804"/>
      <c r="K62" s="804"/>
      <c r="L62" s="804"/>
      <c r="M62" s="805"/>
      <c r="N62" s="788">
        <f>'Form 1B'!C37</f>
        <v>0</v>
      </c>
      <c r="O62" s="789"/>
      <c r="P62" s="789"/>
      <c r="Q62" s="790"/>
      <c r="R62" s="786" t="str">
        <f>IF('Form 1B'!F38&gt;0,"H",IF('Form 1B'!G38&gt;0,"F","H"))</f>
        <v>H</v>
      </c>
      <c r="S62" s="787"/>
      <c r="T62" s="786"/>
      <c r="U62" s="787"/>
      <c r="V62" s="777"/>
      <c r="W62" s="778"/>
      <c r="X62" s="771">
        <f>'Form 1B'!F37</f>
        <v>0</v>
      </c>
      <c r="Y62" s="772"/>
      <c r="Z62" s="773"/>
      <c r="AA62" s="774">
        <f t="shared" si="0"/>
        <v>0</v>
      </c>
      <c r="AB62" s="775"/>
      <c r="AC62" s="775"/>
      <c r="AD62" s="776"/>
    </row>
    <row r="63" spans="1:30" ht="9" customHeight="1">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row>
    <row r="64" spans="1:30" ht="20.25" customHeight="1" thickBot="1">
      <c r="A64" s="146" t="s">
        <v>94</v>
      </c>
      <c r="B64" s="146"/>
      <c r="C64" s="146"/>
      <c r="D64" s="146"/>
      <c r="E64" s="146"/>
      <c r="F64" s="146"/>
      <c r="G64" s="164"/>
      <c r="H64" s="164"/>
      <c r="I64" s="164"/>
      <c r="J64" s="164"/>
      <c r="K64" s="164"/>
      <c r="L64" s="164"/>
      <c r="M64" s="164"/>
      <c r="N64" s="164"/>
      <c r="O64" s="164"/>
      <c r="P64" s="164"/>
      <c r="Q64" s="164"/>
      <c r="R64" s="164"/>
      <c r="S64" s="164"/>
      <c r="T64" s="164"/>
      <c r="U64" s="164"/>
      <c r="V64" s="164"/>
      <c r="W64" s="164"/>
      <c r="X64" s="164"/>
      <c r="Y64" s="164"/>
      <c r="Z64" s="164"/>
      <c r="AA64" s="154"/>
      <c r="AB64" s="818">
        <f>SUM(AB38:AD62)</f>
        <v>0</v>
      </c>
      <c r="AC64" s="818"/>
      <c r="AD64" s="818"/>
    </row>
    <row r="65" spans="1:30" ht="20.25" customHeight="1" thickBot="1" thickTop="1">
      <c r="A65" s="146" t="s">
        <v>95</v>
      </c>
      <c r="B65" s="146"/>
      <c r="C65" s="146"/>
      <c r="D65" s="154"/>
      <c r="E65" s="154"/>
      <c r="F65" s="154"/>
      <c r="G65" s="154"/>
      <c r="H65" s="164"/>
      <c r="I65" s="164"/>
      <c r="J65" s="164"/>
      <c r="K65" s="164"/>
      <c r="L65" s="164"/>
      <c r="M65" s="164"/>
      <c r="N65" s="164"/>
      <c r="O65" s="164"/>
      <c r="P65" s="164"/>
      <c r="Q65" s="164"/>
      <c r="R65" s="164"/>
      <c r="S65" s="164"/>
      <c r="T65" s="164"/>
      <c r="U65" s="164"/>
      <c r="V65" s="164"/>
      <c r="W65" s="164"/>
      <c r="X65" s="164"/>
      <c r="Y65" s="164"/>
      <c r="Z65" s="164"/>
      <c r="AA65" s="154"/>
      <c r="AB65" s="816">
        <f>SUM(AB28:AD62)</f>
        <v>0</v>
      </c>
      <c r="AC65" s="816"/>
      <c r="AD65" s="816"/>
    </row>
    <row r="66" spans="1:30" ht="18" customHeight="1" thickTop="1">
      <c r="A66" s="146" t="s">
        <v>521</v>
      </c>
      <c r="I66" s="154"/>
      <c r="J66" s="154"/>
      <c r="K66" s="154"/>
      <c r="L66" s="154"/>
      <c r="M66" s="154"/>
      <c r="N66" s="154"/>
      <c r="O66" s="154"/>
      <c r="P66" s="154"/>
      <c r="Q66" s="154"/>
      <c r="R66" s="154"/>
      <c r="S66" s="154"/>
      <c r="T66" s="154"/>
      <c r="U66" s="154"/>
      <c r="V66" s="154"/>
      <c r="W66" s="154"/>
      <c r="X66" s="154"/>
      <c r="Y66" s="154"/>
      <c r="Z66" s="154"/>
      <c r="AA66" s="154"/>
      <c r="AB66" s="809"/>
      <c r="AC66" s="809"/>
      <c r="AD66" s="809"/>
    </row>
    <row r="67" spans="1:30" ht="65.25" customHeight="1">
      <c r="A67" s="821" t="s">
        <v>428</v>
      </c>
      <c r="B67" s="821"/>
      <c r="C67" s="821"/>
      <c r="D67" s="821"/>
      <c r="E67" s="821"/>
      <c r="F67" s="821"/>
      <c r="G67" s="821"/>
      <c r="H67" s="821"/>
      <c r="I67" s="821"/>
      <c r="J67" s="821"/>
      <c r="K67" s="821"/>
      <c r="L67" s="821"/>
      <c r="M67" s="821"/>
      <c r="N67" s="822"/>
      <c r="O67" s="822"/>
      <c r="P67" s="822"/>
      <c r="Q67" s="822"/>
      <c r="R67" s="822"/>
      <c r="S67" s="822"/>
      <c r="T67" s="822"/>
      <c r="U67" s="822"/>
      <c r="V67" s="822"/>
      <c r="W67" s="822"/>
      <c r="X67" s="822"/>
      <c r="Y67" s="822"/>
      <c r="Z67" s="822"/>
      <c r="AA67" s="822"/>
      <c r="AB67" s="822"/>
      <c r="AC67" s="822"/>
      <c r="AD67" s="822"/>
    </row>
    <row r="68" spans="1:30" ht="10.5" customHeight="1">
      <c r="A68" s="166"/>
      <c r="B68" s="166"/>
      <c r="C68" s="166"/>
      <c r="D68" s="166"/>
      <c r="E68" s="166"/>
      <c r="F68" s="166"/>
      <c r="G68" s="166"/>
      <c r="H68" s="166"/>
      <c r="I68" s="166"/>
      <c r="J68" s="166"/>
      <c r="K68" s="166"/>
      <c r="L68" s="166"/>
      <c r="M68" s="166"/>
      <c r="N68" s="146"/>
      <c r="O68" s="146"/>
      <c r="P68" s="146"/>
      <c r="Q68" s="165"/>
      <c r="R68" s="165"/>
      <c r="S68" s="165"/>
      <c r="T68" s="165"/>
      <c r="U68" s="165"/>
      <c r="V68" s="165"/>
      <c r="W68" s="165"/>
      <c r="X68" s="165"/>
      <c r="Y68" s="165"/>
      <c r="Z68" s="165"/>
      <c r="AA68" s="165"/>
      <c r="AB68" s="165"/>
      <c r="AC68" s="165"/>
      <c r="AD68" s="165"/>
    </row>
    <row r="69" spans="1:30" ht="22.5" customHeight="1">
      <c r="A69" s="817" t="s">
        <v>85</v>
      </c>
      <c r="B69" s="817"/>
      <c r="C69" s="820"/>
      <c r="D69" s="808"/>
      <c r="E69" s="808"/>
      <c r="F69" s="808"/>
      <c r="G69" s="808"/>
      <c r="H69" s="808"/>
      <c r="I69" s="808"/>
      <c r="J69" s="808"/>
      <c r="K69" s="808"/>
      <c r="L69" s="808"/>
      <c r="M69" s="808"/>
      <c r="N69" s="808"/>
      <c r="O69" s="808"/>
      <c r="P69" s="808"/>
      <c r="Q69" s="808"/>
      <c r="R69" s="808"/>
      <c r="S69" s="808"/>
      <c r="T69" s="808"/>
      <c r="U69" s="808"/>
      <c r="V69" s="808"/>
      <c r="W69" s="294"/>
      <c r="X69" s="808"/>
      <c r="Y69" s="808"/>
      <c r="Z69" s="808"/>
      <c r="AA69" s="808"/>
      <c r="AB69" s="808"/>
      <c r="AC69" s="808"/>
      <c r="AD69" s="808"/>
    </row>
    <row r="70" spans="1:30" ht="12.75">
      <c r="A70" s="146"/>
      <c r="B70" s="146"/>
      <c r="C70" s="806" t="s">
        <v>74</v>
      </c>
      <c r="D70" s="807"/>
      <c r="E70" s="807"/>
      <c r="F70" s="807"/>
      <c r="G70" s="807"/>
      <c r="H70" s="807"/>
      <c r="I70" s="807"/>
      <c r="J70" s="807"/>
      <c r="K70" s="807"/>
      <c r="L70" s="807"/>
      <c r="M70" s="807"/>
      <c r="N70" s="807"/>
      <c r="O70" s="807"/>
      <c r="P70" s="807"/>
      <c r="Q70" s="807"/>
      <c r="R70" s="807"/>
      <c r="S70" s="807"/>
      <c r="T70" s="807"/>
      <c r="U70" s="807"/>
      <c r="V70" s="807"/>
      <c r="W70" s="295"/>
      <c r="X70" s="806" t="s">
        <v>8</v>
      </c>
      <c r="Y70" s="806"/>
      <c r="Z70" s="807"/>
      <c r="AA70" s="807"/>
      <c r="AB70" s="807"/>
      <c r="AC70" s="807"/>
      <c r="AD70" s="807"/>
    </row>
    <row r="71" spans="1:30" ht="12.75">
      <c r="A71" s="146"/>
      <c r="B71" s="146"/>
      <c r="C71" s="150"/>
      <c r="D71" s="292"/>
      <c r="E71" s="292"/>
      <c r="F71" s="292"/>
      <c r="G71" s="292"/>
      <c r="H71" s="292"/>
      <c r="I71" s="292"/>
      <c r="J71" s="292"/>
      <c r="K71" s="292"/>
      <c r="L71" s="292"/>
      <c r="M71" s="292"/>
      <c r="N71" s="292"/>
      <c r="O71" s="292"/>
      <c r="P71" s="292"/>
      <c r="Q71" s="292"/>
      <c r="R71" s="292"/>
      <c r="S71" s="292"/>
      <c r="T71" s="292"/>
      <c r="U71" s="292"/>
      <c r="V71" s="292"/>
      <c r="W71" s="292"/>
      <c r="X71" s="150"/>
      <c r="Y71" s="150"/>
      <c r="Z71" s="292"/>
      <c r="AA71" s="292"/>
      <c r="AB71" s="292"/>
      <c r="AC71" s="292"/>
      <c r="AD71" s="292"/>
    </row>
    <row r="72" ht="28.5" customHeight="1"/>
    <row r="73" spans="2:30" ht="12.75">
      <c r="B73" s="812" t="s">
        <v>832</v>
      </c>
      <c r="C73" s="812"/>
      <c r="D73" s="812"/>
      <c r="E73" s="812"/>
      <c r="F73" s="812"/>
      <c r="G73" s="812"/>
      <c r="H73" s="812"/>
      <c r="I73" s="812"/>
      <c r="J73" s="812"/>
      <c r="K73" s="812"/>
      <c r="L73" s="812"/>
      <c r="M73" s="812"/>
      <c r="N73" s="812"/>
      <c r="O73" s="812"/>
      <c r="P73" s="812"/>
      <c r="Q73" s="812"/>
      <c r="R73" s="812"/>
      <c r="S73" s="812"/>
      <c r="T73" s="812"/>
      <c r="U73" s="812"/>
      <c r="V73" s="812"/>
      <c r="W73" s="812"/>
      <c r="X73" s="812"/>
      <c r="Y73" s="812"/>
      <c r="Z73" s="812"/>
      <c r="AA73" s="812"/>
      <c r="AB73" s="812"/>
      <c r="AC73" s="812"/>
      <c r="AD73" s="812"/>
    </row>
    <row r="74" spans="2:30" ht="12.75">
      <c r="B74" s="347"/>
      <c r="C74" s="347"/>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row>
    <row r="75" spans="2:30" ht="12.75">
      <c r="B75" s="1"/>
      <c r="C75" s="348"/>
      <c r="D75" s="348"/>
      <c r="E75" s="813" t="s">
        <v>541</v>
      </c>
      <c r="F75" s="813"/>
      <c r="G75" s="813"/>
      <c r="H75" s="813"/>
      <c r="I75" s="813"/>
      <c r="J75" s="813"/>
      <c r="K75" s="813"/>
      <c r="L75" s="813"/>
      <c r="M75" s="813"/>
      <c r="N75" s="813"/>
      <c r="O75" s="813"/>
      <c r="P75" s="813"/>
      <c r="Q75" s="813"/>
      <c r="R75" s="813"/>
      <c r="S75" s="813"/>
      <c r="T75" s="813"/>
      <c r="U75" s="813"/>
      <c r="V75" s="813"/>
      <c r="W75" s="813"/>
      <c r="X75" s="813"/>
      <c r="Y75" s="813"/>
      <c r="Z75" s="813"/>
      <c r="AA75" s="813"/>
      <c r="AB75" s="813"/>
      <c r="AC75" s="813"/>
      <c r="AD75" s="813"/>
    </row>
    <row r="76" spans="2:30" ht="12.75">
      <c r="B76" s="1"/>
      <c r="C76" s="348"/>
      <c r="D76" s="348"/>
      <c r="E76" s="814" t="s">
        <v>542</v>
      </c>
      <c r="F76" s="814"/>
      <c r="G76" s="814"/>
      <c r="H76" s="814"/>
      <c r="I76" s="814"/>
      <c r="J76" s="814"/>
      <c r="K76" s="814"/>
      <c r="L76" s="814"/>
      <c r="M76" s="814"/>
      <c r="N76" s="814"/>
      <c r="O76" s="814"/>
      <c r="P76" s="814"/>
      <c r="Q76" s="814"/>
      <c r="R76" s="814"/>
      <c r="S76" s="814"/>
      <c r="T76" s="814"/>
      <c r="U76" s="814"/>
      <c r="V76" s="814"/>
      <c r="W76" s="814"/>
      <c r="X76" s="814"/>
      <c r="Y76" s="814"/>
      <c r="Z76" s="814"/>
      <c r="AA76" s="814"/>
      <c r="AB76" s="814"/>
      <c r="AC76" s="814"/>
      <c r="AD76" s="814"/>
    </row>
    <row r="77" spans="2:30" ht="12.75">
      <c r="B77" s="1"/>
      <c r="C77" s="815" t="s">
        <v>543</v>
      </c>
      <c r="D77" s="815"/>
      <c r="E77" s="815"/>
      <c r="F77" s="815"/>
      <c r="G77" s="815"/>
      <c r="H77" s="815"/>
      <c r="I77" s="815"/>
      <c r="J77" s="815"/>
      <c r="K77" s="815"/>
      <c r="L77" s="815"/>
      <c r="M77" s="815"/>
      <c r="N77" s="815"/>
      <c r="O77" s="815"/>
      <c r="P77" s="815"/>
      <c r="Q77" s="815"/>
      <c r="R77" s="815"/>
      <c r="S77" s="815"/>
      <c r="T77" s="815"/>
      <c r="U77" s="815"/>
      <c r="V77" s="815"/>
      <c r="W77" s="815"/>
      <c r="X77" s="815"/>
      <c r="Y77" s="815"/>
      <c r="Z77" s="815"/>
      <c r="AA77" s="815"/>
      <c r="AB77" s="815"/>
      <c r="AC77" s="815"/>
      <c r="AD77" s="815"/>
    </row>
    <row r="78" spans="2:30" ht="9" customHeight="1">
      <c r="B78" s="1"/>
      <c r="C78" s="12"/>
      <c r="D78" s="333"/>
      <c r="E78" s="333"/>
      <c r="F78" s="333"/>
      <c r="G78" s="333"/>
      <c r="H78" s="333"/>
      <c r="I78" s="333"/>
      <c r="J78" s="333"/>
      <c r="K78" s="333"/>
      <c r="L78" s="333"/>
      <c r="M78" s="333"/>
      <c r="N78" s="333"/>
      <c r="O78" s="333"/>
      <c r="P78" s="1"/>
      <c r="Q78" s="1"/>
      <c r="R78" s="1"/>
      <c r="S78" s="1"/>
      <c r="T78" s="1"/>
      <c r="U78" s="1"/>
      <c r="V78" s="1"/>
      <c r="W78" s="1"/>
      <c r="X78" s="1"/>
      <c r="Y78" s="1"/>
      <c r="Z78" s="1"/>
      <c r="AA78" s="1"/>
      <c r="AB78" s="1"/>
      <c r="AC78" s="1"/>
      <c r="AD78" s="1"/>
    </row>
    <row r="79" spans="2:30" ht="12.75">
      <c r="B79" s="1"/>
      <c r="C79" s="12" t="s">
        <v>491</v>
      </c>
      <c r="D79" s="1"/>
      <c r="E79" s="349" t="s">
        <v>590</v>
      </c>
      <c r="F79" s="350"/>
      <c r="G79" s="350"/>
      <c r="H79" s="350"/>
      <c r="I79" s="350"/>
      <c r="J79" s="350"/>
      <c r="K79" s="350"/>
      <c r="L79" s="1"/>
      <c r="M79" s="1"/>
      <c r="N79" s="1"/>
      <c r="O79" s="1"/>
      <c r="P79" s="1"/>
      <c r="Q79" s="1"/>
      <c r="R79" s="1"/>
      <c r="S79" s="1"/>
      <c r="T79" s="1"/>
      <c r="U79" s="1"/>
      <c r="V79" s="1"/>
      <c r="W79" s="1"/>
      <c r="X79" s="1"/>
      <c r="Y79" s="1"/>
      <c r="Z79" s="1"/>
      <c r="AA79" s="1"/>
      <c r="AB79" s="1"/>
      <c r="AC79" s="1"/>
      <c r="AD79" s="1"/>
    </row>
    <row r="80" spans="2:30" ht="15" customHeight="1">
      <c r="B80" s="1"/>
      <c r="C80" s="1"/>
      <c r="D80" s="1"/>
      <c r="E80" s="313" t="s">
        <v>591</v>
      </c>
      <c r="F80" s="313"/>
      <c r="G80" s="313"/>
      <c r="H80" s="313"/>
      <c r="I80" s="313"/>
      <c r="J80" s="313"/>
      <c r="K80" s="313"/>
      <c r="L80" s="1"/>
      <c r="M80" s="1"/>
      <c r="N80" s="1"/>
      <c r="O80" s="1"/>
      <c r="P80" s="1"/>
      <c r="Q80" s="1"/>
      <c r="R80" s="1"/>
      <c r="S80" s="1"/>
      <c r="T80" s="1"/>
      <c r="U80" s="1"/>
      <c r="V80" s="1"/>
      <c r="W80" s="1"/>
      <c r="X80" s="1"/>
      <c r="Y80" s="1"/>
      <c r="Z80" s="1"/>
      <c r="AA80" s="1"/>
      <c r="AB80" s="1"/>
      <c r="AC80" s="1"/>
      <c r="AD80" s="1"/>
    </row>
    <row r="81" spans="2:30" ht="23.25" customHeight="1">
      <c r="B81" s="1"/>
      <c r="C81" s="1"/>
      <c r="D81" s="1"/>
      <c r="E81" s="313" t="s">
        <v>592</v>
      </c>
      <c r="F81" s="313"/>
      <c r="G81" s="313"/>
      <c r="H81" s="313"/>
      <c r="I81" s="313"/>
      <c r="J81" s="313"/>
      <c r="K81" s="313"/>
      <c r="L81" s="1"/>
      <c r="M81" s="1"/>
      <c r="N81" s="1"/>
      <c r="O81" s="1"/>
      <c r="P81" s="1"/>
      <c r="Q81" s="1"/>
      <c r="R81" s="1"/>
      <c r="S81" s="1"/>
      <c r="T81" s="1"/>
      <c r="U81" s="1"/>
      <c r="V81" s="1"/>
      <c r="W81" s="1"/>
      <c r="X81" s="1"/>
      <c r="Y81" s="1"/>
      <c r="Z81" s="1"/>
      <c r="AA81" s="1"/>
      <c r="AB81" s="1"/>
      <c r="AC81" s="1"/>
      <c r="AD81" s="1"/>
    </row>
    <row r="82" spans="2:30" ht="12.75">
      <c r="B82" s="1"/>
      <c r="C82" s="1"/>
      <c r="D82" s="1"/>
      <c r="E82" s="350" t="s">
        <v>593</v>
      </c>
      <c r="F82" s="350"/>
      <c r="G82" s="350"/>
      <c r="H82" s="350"/>
      <c r="I82" s="350"/>
      <c r="J82" s="350"/>
      <c r="K82" s="350"/>
      <c r="L82" s="350"/>
      <c r="M82" s="350"/>
      <c r="N82" s="350"/>
      <c r="O82" s="1"/>
      <c r="P82" s="1"/>
      <c r="Q82" s="1"/>
      <c r="R82" s="1"/>
      <c r="S82" s="1"/>
      <c r="T82" s="1"/>
      <c r="U82" s="1"/>
      <c r="V82" s="1"/>
      <c r="W82" s="1"/>
      <c r="X82" s="1"/>
      <c r="Y82" s="1"/>
      <c r="Z82" s="1"/>
      <c r="AA82" s="1"/>
      <c r="AB82" s="1"/>
      <c r="AC82" s="1"/>
      <c r="AD82" s="1"/>
    </row>
    <row r="83" spans="2:30" ht="12.75">
      <c r="B83" s="1"/>
      <c r="C83" s="1"/>
      <c r="D83" s="1"/>
      <c r="E83" s="800" t="s">
        <v>594</v>
      </c>
      <c r="F83" s="800"/>
      <c r="G83" s="800"/>
      <c r="H83" s="800"/>
      <c r="I83" s="800"/>
      <c r="J83" s="800"/>
      <c r="K83" s="800"/>
      <c r="L83" s="800"/>
      <c r="M83" s="800"/>
      <c r="N83" s="800"/>
      <c r="O83" s="800"/>
      <c r="P83" s="800"/>
      <c r="Q83" s="800"/>
      <c r="R83" s="800"/>
      <c r="S83" s="800"/>
      <c r="T83" s="800"/>
      <c r="U83" s="800"/>
      <c r="V83" s="800"/>
      <c r="W83" s="800"/>
      <c r="X83" s="800"/>
      <c r="Y83" s="800"/>
      <c r="Z83" s="800"/>
      <c r="AA83" s="800"/>
      <c r="AB83" s="800"/>
      <c r="AC83" s="1"/>
      <c r="AD83" s="1"/>
    </row>
    <row r="84" spans="2:30" ht="12.75">
      <c r="B84" s="1"/>
      <c r="C84" s="1"/>
      <c r="D84" s="1"/>
      <c r="E84" s="313"/>
      <c r="F84" s="313"/>
      <c r="G84" s="798" t="s">
        <v>544</v>
      </c>
      <c r="H84" s="798"/>
      <c r="I84" s="798"/>
      <c r="J84" s="798"/>
      <c r="K84" s="798"/>
      <c r="L84" s="798"/>
      <c r="M84" s="798"/>
      <c r="N84" s="798"/>
      <c r="O84" s="798"/>
      <c r="P84" s="798"/>
      <c r="Q84" s="798"/>
      <c r="R84" s="798"/>
      <c r="S84" s="798"/>
      <c r="T84" s="798"/>
      <c r="U84" s="798"/>
      <c r="V84" s="798"/>
      <c r="W84" s="798"/>
      <c r="X84" s="798"/>
      <c r="Y84" s="798"/>
      <c r="Z84" s="798"/>
      <c r="AA84" s="798"/>
      <c r="AB84" s="798"/>
      <c r="AC84" s="351"/>
      <c r="AD84" s="1"/>
    </row>
    <row r="85" spans="2:30" ht="12.75">
      <c r="B85" s="1"/>
      <c r="C85" s="1"/>
      <c r="D85" s="1"/>
      <c r="E85" s="313"/>
      <c r="F85" s="313"/>
      <c r="G85" s="798"/>
      <c r="H85" s="798"/>
      <c r="I85" s="798"/>
      <c r="J85" s="798"/>
      <c r="K85" s="798"/>
      <c r="L85" s="798"/>
      <c r="M85" s="798"/>
      <c r="N85" s="798"/>
      <c r="O85" s="798"/>
      <c r="P85" s="798"/>
      <c r="Q85" s="798"/>
      <c r="R85" s="798"/>
      <c r="S85" s="798"/>
      <c r="T85" s="798"/>
      <c r="U85" s="798"/>
      <c r="V85" s="798"/>
      <c r="W85" s="798"/>
      <c r="X85" s="798"/>
      <c r="Y85" s="798"/>
      <c r="Z85" s="798"/>
      <c r="AA85" s="798"/>
      <c r="AB85" s="798"/>
      <c r="AC85" s="351"/>
      <c r="AD85" s="1"/>
    </row>
    <row r="86" spans="2:30" ht="12.75">
      <c r="B86" s="1"/>
      <c r="C86" s="1"/>
      <c r="D86" s="1"/>
      <c r="E86" s="313"/>
      <c r="F86" s="313"/>
      <c r="G86" s="798"/>
      <c r="H86" s="798"/>
      <c r="I86" s="798"/>
      <c r="J86" s="798"/>
      <c r="K86" s="798"/>
      <c r="L86" s="798"/>
      <c r="M86" s="798"/>
      <c r="N86" s="798"/>
      <c r="O86" s="798"/>
      <c r="P86" s="798"/>
      <c r="Q86" s="798"/>
      <c r="R86" s="798"/>
      <c r="S86" s="798"/>
      <c r="T86" s="798"/>
      <c r="U86" s="798"/>
      <c r="V86" s="798"/>
      <c r="W86" s="798"/>
      <c r="X86" s="798"/>
      <c r="Y86" s="798"/>
      <c r="Z86" s="798"/>
      <c r="AA86" s="798"/>
      <c r="AB86" s="798"/>
      <c r="AC86" s="351"/>
      <c r="AD86" s="1"/>
    </row>
    <row r="87" spans="2:30" ht="12.75">
      <c r="B87" s="1"/>
      <c r="C87" s="1"/>
      <c r="D87" s="1"/>
      <c r="E87" s="313"/>
      <c r="F87" s="313"/>
      <c r="G87" s="798"/>
      <c r="H87" s="798"/>
      <c r="I87" s="798"/>
      <c r="J87" s="798"/>
      <c r="K87" s="798"/>
      <c r="L87" s="798"/>
      <c r="M87" s="798"/>
      <c r="N87" s="798"/>
      <c r="O87" s="798"/>
      <c r="P87" s="798"/>
      <c r="Q87" s="798"/>
      <c r="R87" s="798"/>
      <c r="S87" s="798"/>
      <c r="T87" s="798"/>
      <c r="U87" s="798"/>
      <c r="V87" s="798"/>
      <c r="W87" s="798"/>
      <c r="X87" s="798"/>
      <c r="Y87" s="798"/>
      <c r="Z87" s="798"/>
      <c r="AA87" s="798"/>
      <c r="AB87" s="798"/>
      <c r="AC87" s="351"/>
      <c r="AD87" s="1"/>
    </row>
    <row r="88" spans="2:30" ht="8.25" customHeight="1">
      <c r="B88" s="1"/>
      <c r="C88" s="1"/>
      <c r="D88" s="1"/>
      <c r="E88" s="313"/>
      <c r="F88" s="313"/>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1"/>
    </row>
    <row r="89" spans="2:30" ht="12.75">
      <c r="B89" s="1"/>
      <c r="C89" s="1"/>
      <c r="D89" s="1"/>
      <c r="E89" s="313" t="s">
        <v>595</v>
      </c>
      <c r="F89" s="313"/>
      <c r="G89" s="313"/>
      <c r="H89" s="313"/>
      <c r="I89" s="313"/>
      <c r="J89" s="313"/>
      <c r="K89" s="313"/>
      <c r="L89" s="313"/>
      <c r="M89" s="313"/>
      <c r="N89" s="313"/>
      <c r="O89" s="313"/>
      <c r="P89" s="313"/>
      <c r="Q89" s="313"/>
      <c r="R89" s="1"/>
      <c r="S89" s="1"/>
      <c r="T89" s="1"/>
      <c r="U89" s="1"/>
      <c r="V89" s="1"/>
      <c r="W89" s="1"/>
      <c r="X89" s="1"/>
      <c r="Y89" s="1"/>
      <c r="Z89" s="1"/>
      <c r="AA89" s="1"/>
      <c r="AB89" s="1"/>
      <c r="AC89" s="1"/>
      <c r="AD89" s="1"/>
    </row>
    <row r="90" spans="2:30" ht="12.75">
      <c r="B90" s="1"/>
      <c r="C90" s="1"/>
      <c r="D90" s="1"/>
      <c r="E90" s="799" t="s">
        <v>545</v>
      </c>
      <c r="F90" s="799"/>
      <c r="G90" s="819" t="s">
        <v>596</v>
      </c>
      <c r="H90" s="819"/>
      <c r="I90" s="819"/>
      <c r="J90" s="819"/>
      <c r="K90" s="819"/>
      <c r="L90" s="819"/>
      <c r="M90" s="819"/>
      <c r="N90" s="819"/>
      <c r="O90" s="819"/>
      <c r="P90" s="819"/>
      <c r="Q90" s="819"/>
      <c r="R90" s="819"/>
      <c r="S90" s="819"/>
      <c r="T90" s="819"/>
      <c r="U90" s="819"/>
      <c r="V90" s="819"/>
      <c r="W90" s="819"/>
      <c r="X90" s="819"/>
      <c r="Y90" s="819"/>
      <c r="Z90" s="819"/>
      <c r="AA90" s="819"/>
      <c r="AB90" s="819"/>
      <c r="AC90" s="1"/>
      <c r="AD90" s="1"/>
    </row>
    <row r="91" spans="2:30" ht="12.75">
      <c r="B91" s="1"/>
      <c r="C91" s="1"/>
      <c r="D91" s="1"/>
      <c r="E91" s="313"/>
      <c r="F91" s="313"/>
      <c r="G91" s="819"/>
      <c r="H91" s="819"/>
      <c r="I91" s="819"/>
      <c r="J91" s="819"/>
      <c r="K91" s="819"/>
      <c r="L91" s="819"/>
      <c r="M91" s="819"/>
      <c r="N91" s="819"/>
      <c r="O91" s="819"/>
      <c r="P91" s="819"/>
      <c r="Q91" s="819"/>
      <c r="R91" s="819"/>
      <c r="S91" s="819"/>
      <c r="T91" s="819"/>
      <c r="U91" s="819"/>
      <c r="V91" s="819"/>
      <c r="W91" s="819"/>
      <c r="X91" s="819"/>
      <c r="Y91" s="819"/>
      <c r="Z91" s="819"/>
      <c r="AA91" s="819"/>
      <c r="AB91" s="819"/>
      <c r="AC91" s="1"/>
      <c r="AD91" s="1"/>
    </row>
    <row r="92" spans="2:30" ht="12.75">
      <c r="B92" s="1"/>
      <c r="C92" s="1"/>
      <c r="D92" s="1"/>
      <c r="E92" s="352" t="s">
        <v>492</v>
      </c>
      <c r="F92" s="1"/>
      <c r="G92" s="350" t="s">
        <v>546</v>
      </c>
      <c r="H92" s="801" t="s">
        <v>547</v>
      </c>
      <c r="I92" s="801"/>
      <c r="J92" s="801"/>
      <c r="K92" s="801"/>
      <c r="L92" s="801"/>
      <c r="M92" s="801"/>
      <c r="N92" s="801"/>
      <c r="O92" s="801"/>
      <c r="P92" s="353"/>
      <c r="Q92" s="353"/>
      <c r="R92" s="800" t="s">
        <v>548</v>
      </c>
      <c r="S92" s="800"/>
      <c r="T92" s="800"/>
      <c r="U92" s="800"/>
      <c r="V92" s="800"/>
      <c r="W92" s="800"/>
      <c r="X92" s="800"/>
      <c r="Y92" s="800"/>
      <c r="Z92" s="800"/>
      <c r="AA92" s="800"/>
      <c r="AB92" s="800"/>
      <c r="AC92" s="350"/>
      <c r="AD92" s="350"/>
    </row>
    <row r="93" spans="2:30" ht="12.75">
      <c r="B93" s="1"/>
      <c r="C93" s="1"/>
      <c r="D93" s="1"/>
      <c r="E93" s="1"/>
      <c r="F93" s="1"/>
      <c r="G93" s="350" t="s">
        <v>549</v>
      </c>
      <c r="H93" s="801" t="s">
        <v>550</v>
      </c>
      <c r="I93" s="801"/>
      <c r="J93" s="801"/>
      <c r="K93" s="801"/>
      <c r="L93" s="801"/>
      <c r="M93" s="801"/>
      <c r="N93" s="801"/>
      <c r="O93" s="801"/>
      <c r="P93" s="313"/>
      <c r="Q93" s="313"/>
      <c r="R93" s="800" t="s">
        <v>551</v>
      </c>
      <c r="S93" s="800"/>
      <c r="T93" s="800"/>
      <c r="U93" s="800"/>
      <c r="V93" s="800"/>
      <c r="W93" s="800"/>
      <c r="X93" s="800"/>
      <c r="Y93" s="800"/>
      <c r="Z93" s="800"/>
      <c r="AA93" s="800"/>
      <c r="AB93" s="800"/>
      <c r="AC93" s="313"/>
      <c r="AD93" s="1"/>
    </row>
    <row r="94" spans="2:30" ht="12.75">
      <c r="B94" s="1"/>
      <c r="C94" s="1"/>
      <c r="D94" s="1"/>
      <c r="E94" s="1"/>
      <c r="F94" s="1"/>
      <c r="G94" s="350" t="s">
        <v>552</v>
      </c>
      <c r="H94" s="801" t="s">
        <v>553</v>
      </c>
      <c r="I94" s="801"/>
      <c r="J94" s="801"/>
      <c r="K94" s="801"/>
      <c r="L94" s="801"/>
      <c r="M94" s="801"/>
      <c r="N94" s="801"/>
      <c r="O94" s="801"/>
      <c r="P94" s="1"/>
      <c r="Q94" s="1"/>
      <c r="R94" s="1"/>
      <c r="S94" s="1"/>
      <c r="T94" s="1"/>
      <c r="U94" s="1"/>
      <c r="V94" s="1"/>
      <c r="W94" s="1"/>
      <c r="X94" s="1"/>
      <c r="Y94" s="1"/>
      <c r="Z94" s="1"/>
      <c r="AA94" s="1"/>
      <c r="AB94" s="1"/>
      <c r="AC94" s="1"/>
      <c r="AD94" s="1"/>
    </row>
    <row r="95" spans="2:30" ht="9" customHeight="1">
      <c r="B95" s="1"/>
      <c r="C95" s="1"/>
      <c r="D95" s="1"/>
      <c r="E95" s="1"/>
      <c r="F95" s="1"/>
      <c r="G95" s="313"/>
      <c r="H95" s="313"/>
      <c r="I95" s="313"/>
      <c r="J95" s="313"/>
      <c r="K95" s="313"/>
      <c r="L95" s="1"/>
      <c r="M95" s="1"/>
      <c r="N95" s="1"/>
      <c r="O95" s="1"/>
      <c r="P95" s="1"/>
      <c r="Q95" s="1"/>
      <c r="R95" s="1"/>
      <c r="S95" s="1"/>
      <c r="T95" s="1"/>
      <c r="U95" s="1"/>
      <c r="V95" s="1"/>
      <c r="W95" s="1"/>
      <c r="X95" s="1"/>
      <c r="Y95" s="1"/>
      <c r="Z95" s="1"/>
      <c r="AA95" s="1"/>
      <c r="AB95" s="1"/>
      <c r="AC95" s="1"/>
      <c r="AD95" s="1"/>
    </row>
    <row r="96" spans="2:30" ht="12.75">
      <c r="B96" s="1"/>
      <c r="C96" s="1"/>
      <c r="D96" s="1"/>
      <c r="E96" s="800" t="s">
        <v>597</v>
      </c>
      <c r="F96" s="800"/>
      <c r="G96" s="800"/>
      <c r="H96" s="800"/>
      <c r="I96" s="800"/>
      <c r="J96" s="800"/>
      <c r="K96" s="800"/>
      <c r="L96" s="800"/>
      <c r="M96" s="800"/>
      <c r="N96" s="800"/>
      <c r="O96" s="800"/>
      <c r="P96" s="800"/>
      <c r="Q96" s="800"/>
      <c r="R96" s="800"/>
      <c r="S96" s="800"/>
      <c r="T96" s="800"/>
      <c r="U96" s="800"/>
      <c r="V96" s="800"/>
      <c r="W96" s="800"/>
      <c r="X96" s="800"/>
      <c r="Y96" s="800"/>
      <c r="Z96" s="800"/>
      <c r="AA96" s="800"/>
      <c r="AB96" s="800"/>
      <c r="AC96" s="800"/>
      <c r="AD96" s="800"/>
    </row>
    <row r="97" spans="2:30" ht="12.75">
      <c r="B97" s="1"/>
      <c r="C97" s="1"/>
      <c r="D97" s="1"/>
      <c r="E97" s="1"/>
      <c r="F97" s="1"/>
      <c r="G97" s="313" t="s">
        <v>534</v>
      </c>
      <c r="H97" s="313"/>
      <c r="I97" s="313"/>
      <c r="J97" s="313"/>
      <c r="K97" s="313"/>
      <c r="L97" s="1"/>
      <c r="M97" s="1"/>
      <c r="N97" s="1"/>
      <c r="O97" s="313" t="s">
        <v>554</v>
      </c>
      <c r="P97" s="313"/>
      <c r="Q97" s="313"/>
      <c r="R97" s="313"/>
      <c r="S97" s="1"/>
      <c r="T97" s="1"/>
      <c r="U97" s="1"/>
      <c r="V97" s="1"/>
      <c r="W97" s="1"/>
      <c r="X97" s="1"/>
      <c r="Y97" s="1"/>
      <c r="Z97" s="313" t="s">
        <v>555</v>
      </c>
      <c r="AA97" s="313"/>
      <c r="AB97" s="313"/>
      <c r="AC97" s="1"/>
      <c r="AD97" s="1"/>
    </row>
    <row r="98" spans="2:30" ht="12.75">
      <c r="B98" s="1"/>
      <c r="C98" s="1"/>
      <c r="D98" s="1"/>
      <c r="E98" s="1"/>
      <c r="F98" s="1"/>
      <c r="G98" s="313" t="s">
        <v>556</v>
      </c>
      <c r="H98" s="313"/>
      <c r="I98" s="313"/>
      <c r="J98" s="313"/>
      <c r="K98" s="1"/>
      <c r="L98" s="1"/>
      <c r="M98" s="1"/>
      <c r="N98" s="1"/>
      <c r="O98" s="313" t="s">
        <v>557</v>
      </c>
      <c r="P98" s="313"/>
      <c r="Q98" s="313"/>
      <c r="R98" s="313"/>
      <c r="S98" s="1"/>
      <c r="T98" s="1"/>
      <c r="U98" s="1"/>
      <c r="V98" s="1"/>
      <c r="W98" s="1"/>
      <c r="X98" s="1"/>
      <c r="Y98" s="1"/>
      <c r="Z98" s="313" t="s">
        <v>558</v>
      </c>
      <c r="AA98" s="1"/>
      <c r="AB98" s="1"/>
      <c r="AC98" s="1"/>
      <c r="AD98" s="1"/>
    </row>
    <row r="99" spans="2:30" ht="12.75">
      <c r="B99" s="1"/>
      <c r="C99" s="1"/>
      <c r="D99" s="1"/>
      <c r="E99" s="1"/>
      <c r="F99" s="1"/>
      <c r="G99" s="313" t="s">
        <v>495</v>
      </c>
      <c r="H99" s="313"/>
      <c r="I99" s="313"/>
      <c r="J99" s="313"/>
      <c r="K99" s="313"/>
      <c r="L99" s="1"/>
      <c r="M99" s="1"/>
      <c r="N99" s="1"/>
      <c r="O99" s="350" t="s">
        <v>559</v>
      </c>
      <c r="P99" s="350"/>
      <c r="Q99" s="350"/>
      <c r="R99" s="350"/>
      <c r="S99" s="350"/>
      <c r="T99" s="350"/>
      <c r="U99" s="1"/>
      <c r="V99" s="1"/>
      <c r="W99" s="1"/>
      <c r="X99" s="1"/>
      <c r="Y99" s="1"/>
      <c r="Z99" s="350" t="s">
        <v>496</v>
      </c>
      <c r="AA99" s="350"/>
      <c r="AB99" s="1"/>
      <c r="AC99" s="1"/>
      <c r="AD99" s="1"/>
    </row>
    <row r="100" spans="2:30" ht="12.75">
      <c r="B100" s="1"/>
      <c r="C100" s="1"/>
      <c r="D100" s="1"/>
      <c r="E100" s="1"/>
      <c r="F100" s="1"/>
      <c r="G100" s="313" t="s">
        <v>560</v>
      </c>
      <c r="H100" s="313"/>
      <c r="I100" s="313"/>
      <c r="J100" s="313"/>
      <c r="K100" s="313"/>
      <c r="L100" s="1"/>
      <c r="M100" s="1"/>
      <c r="N100" s="1"/>
      <c r="O100" s="350" t="s">
        <v>561</v>
      </c>
      <c r="P100" s="350"/>
      <c r="Q100" s="350"/>
      <c r="R100" s="350"/>
      <c r="S100" s="350"/>
      <c r="T100" s="350"/>
      <c r="U100" s="1"/>
      <c r="V100" s="1"/>
      <c r="W100" s="1"/>
      <c r="X100" s="1"/>
      <c r="Y100" s="1"/>
      <c r="Z100" s="350" t="s">
        <v>497</v>
      </c>
      <c r="AA100" s="350"/>
      <c r="AB100" s="350"/>
      <c r="AC100" s="350"/>
      <c r="AD100" s="350"/>
    </row>
    <row r="101" spans="2:30" ht="12.75">
      <c r="B101" s="1"/>
      <c r="C101" s="1"/>
      <c r="D101" s="1"/>
      <c r="E101" s="1"/>
      <c r="F101" s="1"/>
      <c r="G101" s="313" t="s">
        <v>562</v>
      </c>
      <c r="H101" s="313"/>
      <c r="I101" s="313"/>
      <c r="J101" s="313"/>
      <c r="K101" s="313"/>
      <c r="L101" s="1"/>
      <c r="M101" s="1"/>
      <c r="N101" s="1"/>
      <c r="O101" s="350" t="s">
        <v>563</v>
      </c>
      <c r="P101" s="350"/>
      <c r="Q101" s="350"/>
      <c r="R101" s="350"/>
      <c r="S101" s="350"/>
      <c r="T101" s="350"/>
      <c r="U101" s="1"/>
      <c r="V101" s="350"/>
      <c r="W101" s="350"/>
      <c r="X101" s="350"/>
      <c r="Y101" s="350"/>
      <c r="Z101" s="350"/>
      <c r="AA101" s="350"/>
      <c r="AB101" s="350"/>
      <c r="AC101" s="350"/>
      <c r="AD101" s="350"/>
    </row>
    <row r="102" spans="2:30" ht="6" customHeight="1">
      <c r="B102" s="1"/>
      <c r="C102" s="1"/>
      <c r="D102" s="1"/>
      <c r="E102" s="1"/>
      <c r="F102" s="1"/>
      <c r="G102" s="313"/>
      <c r="H102" s="313"/>
      <c r="I102" s="313"/>
      <c r="J102" s="313"/>
      <c r="K102" s="313"/>
      <c r="L102" s="1"/>
      <c r="M102" s="1"/>
      <c r="N102" s="1"/>
      <c r="O102" s="350"/>
      <c r="P102" s="350"/>
      <c r="Q102" s="350"/>
      <c r="R102" s="350"/>
      <c r="S102" s="350"/>
      <c r="T102" s="350"/>
      <c r="U102" s="1"/>
      <c r="V102" s="350"/>
      <c r="W102" s="350"/>
      <c r="X102" s="350"/>
      <c r="Y102" s="350"/>
      <c r="Z102" s="350"/>
      <c r="AA102" s="350"/>
      <c r="AB102" s="350"/>
      <c r="AC102" s="350"/>
      <c r="AD102" s="350"/>
    </row>
    <row r="103" spans="2:30" ht="12.75">
      <c r="B103" s="1"/>
      <c r="C103" s="1"/>
      <c r="D103" s="1"/>
      <c r="E103" s="313" t="s">
        <v>598</v>
      </c>
      <c r="F103" s="1"/>
      <c r="G103" s="1"/>
      <c r="H103" s="1"/>
      <c r="I103" s="1"/>
      <c r="J103" s="1"/>
      <c r="K103" s="313"/>
      <c r="L103" s="1"/>
      <c r="M103" s="1"/>
      <c r="N103" s="1"/>
      <c r="O103" s="1"/>
      <c r="P103" s="1"/>
      <c r="Q103" s="1"/>
      <c r="R103" s="1"/>
      <c r="S103" s="1"/>
      <c r="T103" s="1"/>
      <c r="U103" s="1"/>
      <c r="V103" s="350"/>
      <c r="W103" s="350"/>
      <c r="X103" s="350"/>
      <c r="Y103" s="350"/>
      <c r="Z103" s="350"/>
      <c r="AA103" s="350"/>
      <c r="AB103" s="350"/>
      <c r="AC103" s="350"/>
      <c r="AD103" s="313"/>
    </row>
    <row r="104" spans="2:30" ht="12.75">
      <c r="B104" s="1"/>
      <c r="C104" s="1"/>
      <c r="D104" s="1"/>
      <c r="E104" s="313" t="s">
        <v>599</v>
      </c>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313"/>
      <c r="AB104" s="313"/>
      <c r="AC104" s="313"/>
      <c r="AD104" s="313"/>
    </row>
    <row r="105" spans="2:30" ht="12.75">
      <c r="B105" s="1"/>
      <c r="C105" s="1"/>
      <c r="D105" s="1"/>
      <c r="E105" s="313" t="s">
        <v>600</v>
      </c>
      <c r="F105" s="313"/>
      <c r="G105" s="313"/>
      <c r="H105" s="313"/>
      <c r="I105" s="313"/>
      <c r="J105" s="313"/>
      <c r="K105" s="313"/>
      <c r="L105" s="313"/>
      <c r="M105" s="313"/>
      <c r="N105" s="313"/>
      <c r="O105" s="313"/>
      <c r="P105" s="313"/>
      <c r="Q105" s="313"/>
      <c r="R105" s="313"/>
      <c r="S105" s="313"/>
      <c r="T105" s="313"/>
      <c r="U105" s="313"/>
      <c r="V105" s="1"/>
      <c r="W105" s="313"/>
      <c r="X105" s="313"/>
      <c r="Y105" s="313"/>
      <c r="Z105" s="313"/>
      <c r="AA105" s="313"/>
      <c r="AB105" s="313"/>
      <c r="AC105" s="313"/>
      <c r="AD105" s="313"/>
    </row>
    <row r="106" spans="2:30" ht="12.75">
      <c r="B106" s="1"/>
      <c r="C106" s="334"/>
      <c r="D106" s="1"/>
      <c r="E106" s="313" t="s">
        <v>601</v>
      </c>
      <c r="F106" s="313"/>
      <c r="G106" s="313"/>
      <c r="H106" s="31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row>
    <row r="107" spans="2:30" ht="12.75">
      <c r="B107" s="1"/>
      <c r="C107" s="1"/>
      <c r="D107" s="1"/>
      <c r="E107" s="313" t="s">
        <v>602</v>
      </c>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row>
    <row r="108" spans="2:30" ht="27" customHeight="1">
      <c r="B108" s="1"/>
      <c r="C108" s="1"/>
      <c r="D108" s="1"/>
      <c r="E108" s="798" t="s">
        <v>603</v>
      </c>
      <c r="F108" s="798"/>
      <c r="G108" s="798"/>
      <c r="H108" s="798"/>
      <c r="I108" s="798"/>
      <c r="J108" s="798"/>
      <c r="K108" s="798"/>
      <c r="L108" s="798"/>
      <c r="M108" s="798"/>
      <c r="N108" s="798"/>
      <c r="O108" s="798"/>
      <c r="P108" s="798"/>
      <c r="Q108" s="798"/>
      <c r="R108" s="798"/>
      <c r="S108" s="798"/>
      <c r="T108" s="798"/>
      <c r="U108" s="798"/>
      <c r="V108" s="798"/>
      <c r="W108" s="798"/>
      <c r="X108" s="798"/>
      <c r="Y108" s="798"/>
      <c r="Z108" s="798"/>
      <c r="AA108" s="798"/>
      <c r="AB108" s="798"/>
      <c r="AC108" s="798"/>
      <c r="AD108" s="798"/>
    </row>
    <row r="109" spans="2:30" ht="3" customHeight="1">
      <c r="B109" s="1"/>
      <c r="C109" s="313"/>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2:30" ht="12.75">
      <c r="B110" s="1"/>
      <c r="C110" s="12" t="s">
        <v>498</v>
      </c>
      <c r="D110" s="1"/>
      <c r="E110" s="313" t="s">
        <v>604</v>
      </c>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1"/>
      <c r="AD110" s="1"/>
    </row>
    <row r="111" spans="2:30" ht="12.75">
      <c r="B111" s="1"/>
      <c r="C111" s="1"/>
      <c r="D111" s="1"/>
      <c r="E111" s="800" t="s">
        <v>564</v>
      </c>
      <c r="F111" s="800"/>
      <c r="G111" s="800"/>
      <c r="H111" s="800"/>
      <c r="I111" s="800"/>
      <c r="J111" s="800"/>
      <c r="K111" s="800"/>
      <c r="L111" s="800"/>
      <c r="M111" s="800"/>
      <c r="N111" s="800"/>
      <c r="O111" s="800"/>
      <c r="P111" s="800"/>
      <c r="Q111" s="800"/>
      <c r="R111" s="800"/>
      <c r="S111" s="800"/>
      <c r="T111" s="800"/>
      <c r="U111" s="800"/>
      <c r="V111" s="800"/>
      <c r="W111" s="313"/>
      <c r="X111" s="1"/>
      <c r="Y111" s="1"/>
      <c r="Z111" s="1"/>
      <c r="AA111" s="1"/>
      <c r="AB111" s="1"/>
      <c r="AC111" s="1"/>
      <c r="AD111" s="1"/>
    </row>
    <row r="112" spans="2:30" ht="15" customHeight="1">
      <c r="B112" s="1"/>
      <c r="C112" s="1"/>
      <c r="D112" s="1"/>
      <c r="E112" s="313" t="s">
        <v>565</v>
      </c>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row>
    <row r="113" spans="2:30" ht="12.75" customHeight="1">
      <c r="B113" s="1"/>
      <c r="C113" s="1"/>
      <c r="D113" s="1"/>
      <c r="E113" s="800" t="s">
        <v>566</v>
      </c>
      <c r="F113" s="800"/>
      <c r="G113" s="800"/>
      <c r="H113" s="800"/>
      <c r="I113" s="800"/>
      <c r="J113" s="800"/>
      <c r="K113" s="800"/>
      <c r="L113" s="800"/>
      <c r="M113" s="800"/>
      <c r="N113" s="800"/>
      <c r="O113" s="800"/>
      <c r="P113" s="800"/>
      <c r="Q113" s="800"/>
      <c r="R113" s="800"/>
      <c r="S113" s="800"/>
      <c r="T113" s="800"/>
      <c r="U113" s="800"/>
      <c r="V113" s="800"/>
      <c r="W113" s="800"/>
      <c r="X113" s="800"/>
      <c r="Y113" s="800"/>
      <c r="Z113" s="800"/>
      <c r="AA113" s="800"/>
      <c r="AB113" s="800"/>
      <c r="AC113" s="800"/>
      <c r="AD113" s="800"/>
    </row>
    <row r="114" spans="2:30" ht="10.5" customHeight="1">
      <c r="B114" s="1"/>
      <c r="C114" s="354"/>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2:30" ht="12.75" customHeight="1">
      <c r="B115" s="1"/>
      <c r="C115" s="12" t="s">
        <v>493</v>
      </c>
      <c r="D115" s="1"/>
      <c r="E115" s="798" t="s">
        <v>605</v>
      </c>
      <c r="F115" s="798"/>
      <c r="G115" s="798"/>
      <c r="H115" s="798"/>
      <c r="I115" s="798"/>
      <c r="J115" s="798"/>
      <c r="K115" s="798"/>
      <c r="L115" s="798"/>
      <c r="M115" s="798"/>
      <c r="N115" s="798"/>
      <c r="O115" s="798"/>
      <c r="P115" s="798"/>
      <c r="Q115" s="798"/>
      <c r="R115" s="798"/>
      <c r="S115" s="798"/>
      <c r="T115" s="798"/>
      <c r="U115" s="798"/>
      <c r="V115" s="798"/>
      <c r="W115" s="798"/>
      <c r="X115" s="798"/>
      <c r="Y115" s="798"/>
      <c r="Z115" s="798"/>
      <c r="AA115" s="355"/>
      <c r="AB115" s="355"/>
      <c r="AC115" s="355"/>
      <c r="AD115" s="355"/>
    </row>
    <row r="116" spans="2:30" ht="12.75" customHeight="1">
      <c r="B116" s="1"/>
      <c r="C116" s="802"/>
      <c r="D116" s="1"/>
      <c r="E116" s="798" t="s">
        <v>606</v>
      </c>
      <c r="F116" s="798"/>
      <c r="G116" s="798"/>
      <c r="H116" s="798"/>
      <c r="I116" s="798"/>
      <c r="J116" s="798"/>
      <c r="K116" s="798"/>
      <c r="L116" s="798"/>
      <c r="M116" s="798"/>
      <c r="N116" s="798"/>
      <c r="O116" s="798"/>
      <c r="P116" s="798"/>
      <c r="Q116" s="798"/>
      <c r="R116" s="798"/>
      <c r="S116" s="798"/>
      <c r="T116" s="798"/>
      <c r="U116" s="798"/>
      <c r="V116" s="798"/>
      <c r="W116" s="798"/>
      <c r="X116" s="798"/>
      <c r="Y116" s="798"/>
      <c r="Z116" s="798"/>
      <c r="AA116" s="798"/>
      <c r="AB116" s="798"/>
      <c r="AC116" s="798"/>
      <c r="AD116" s="798"/>
    </row>
    <row r="117" spans="2:30" ht="13.5" customHeight="1">
      <c r="B117" s="1"/>
      <c r="C117" s="802"/>
      <c r="D117" s="1"/>
      <c r="E117" s="798"/>
      <c r="F117" s="798"/>
      <c r="G117" s="798"/>
      <c r="H117" s="798"/>
      <c r="I117" s="798"/>
      <c r="J117" s="798"/>
      <c r="K117" s="798"/>
      <c r="L117" s="798"/>
      <c r="M117" s="798"/>
      <c r="N117" s="798"/>
      <c r="O117" s="798"/>
      <c r="P117" s="798"/>
      <c r="Q117" s="798"/>
      <c r="R117" s="798"/>
      <c r="S117" s="798"/>
      <c r="T117" s="798"/>
      <c r="U117" s="798"/>
      <c r="V117" s="798"/>
      <c r="W117" s="798"/>
      <c r="X117" s="798"/>
      <c r="Y117" s="798"/>
      <c r="Z117" s="798"/>
      <c r="AA117" s="798"/>
      <c r="AB117" s="798"/>
      <c r="AC117" s="798"/>
      <c r="AD117" s="798"/>
    </row>
    <row r="118" spans="2:30" ht="3.75" customHeight="1">
      <c r="B118" s="1"/>
      <c r="C118" s="802"/>
      <c r="D118" s="1"/>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row>
    <row r="119" spans="2:30" ht="12.75">
      <c r="B119" s="1"/>
      <c r="C119" s="802"/>
      <c r="D119" s="1"/>
      <c r="E119" s="798" t="s">
        <v>607</v>
      </c>
      <c r="F119" s="798"/>
      <c r="G119" s="798"/>
      <c r="H119" s="798"/>
      <c r="I119" s="798"/>
      <c r="J119" s="798"/>
      <c r="K119" s="798"/>
      <c r="L119" s="798"/>
      <c r="M119" s="798"/>
      <c r="N119" s="798"/>
      <c r="O119" s="798"/>
      <c r="P119" s="798"/>
      <c r="Q119" s="798"/>
      <c r="R119" s="798"/>
      <c r="S119" s="798"/>
      <c r="T119" s="798"/>
      <c r="U119" s="798"/>
      <c r="V119" s="798"/>
      <c r="W119" s="798"/>
      <c r="X119" s="798"/>
      <c r="Y119" s="355"/>
      <c r="Z119" s="355"/>
      <c r="AA119" s="355"/>
      <c r="AB119" s="355"/>
      <c r="AC119" s="355"/>
      <c r="AD119" s="355"/>
    </row>
    <row r="120" spans="2:30" ht="12.75">
      <c r="B120" s="1"/>
      <c r="C120" s="802"/>
      <c r="D120" s="1"/>
      <c r="E120" s="798" t="s">
        <v>608</v>
      </c>
      <c r="F120" s="798"/>
      <c r="G120" s="798"/>
      <c r="H120" s="798"/>
      <c r="I120" s="798"/>
      <c r="J120" s="798"/>
      <c r="K120" s="798"/>
      <c r="L120" s="798"/>
      <c r="M120" s="798"/>
      <c r="N120" s="798"/>
      <c r="O120" s="798"/>
      <c r="P120" s="798"/>
      <c r="Q120" s="798"/>
      <c r="R120" s="798"/>
      <c r="S120" s="798"/>
      <c r="T120" s="798"/>
      <c r="U120" s="798"/>
      <c r="V120" s="798"/>
      <c r="W120" s="798"/>
      <c r="X120" s="798"/>
      <c r="Y120" s="798"/>
      <c r="Z120" s="798"/>
      <c r="AA120" s="798"/>
      <c r="AB120" s="798"/>
      <c r="AC120" s="798"/>
      <c r="AD120" s="798"/>
    </row>
    <row r="121" spans="2:30" ht="12.75">
      <c r="B121" s="1"/>
      <c r="C121" s="356"/>
      <c r="D121" s="1"/>
      <c r="E121" s="798"/>
      <c r="F121" s="798"/>
      <c r="G121" s="798"/>
      <c r="H121" s="798"/>
      <c r="I121" s="798"/>
      <c r="J121" s="798"/>
      <c r="K121" s="798"/>
      <c r="L121" s="798"/>
      <c r="M121" s="798"/>
      <c r="N121" s="798"/>
      <c r="O121" s="798"/>
      <c r="P121" s="798"/>
      <c r="Q121" s="798"/>
      <c r="R121" s="798"/>
      <c r="S121" s="798"/>
      <c r="T121" s="798"/>
      <c r="U121" s="798"/>
      <c r="V121" s="798"/>
      <c r="W121" s="798"/>
      <c r="X121" s="798"/>
      <c r="Y121" s="798"/>
      <c r="Z121" s="798"/>
      <c r="AA121" s="798"/>
      <c r="AB121" s="798"/>
      <c r="AC121" s="798"/>
      <c r="AD121" s="798"/>
    </row>
    <row r="122" spans="2:30" ht="6.75" customHeight="1">
      <c r="B122" s="1"/>
      <c r="C122" s="278"/>
      <c r="D122" s="278"/>
      <c r="E122" s="351"/>
      <c r="F122" s="351"/>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row>
    <row r="123" spans="2:30" ht="12.75">
      <c r="B123" s="1"/>
      <c r="C123" s="12" t="s">
        <v>494</v>
      </c>
      <c r="D123" s="1"/>
      <c r="E123" s="798" t="s">
        <v>609</v>
      </c>
      <c r="F123" s="798"/>
      <c r="G123" s="798"/>
      <c r="H123" s="798" t="s">
        <v>567</v>
      </c>
      <c r="I123" s="798"/>
      <c r="J123" s="798"/>
      <c r="K123" s="798"/>
      <c r="L123" s="798"/>
      <c r="M123" s="798"/>
      <c r="N123" s="798"/>
      <c r="O123" s="798"/>
      <c r="P123" s="798"/>
      <c r="Q123" s="798"/>
      <c r="R123" s="798"/>
      <c r="S123" s="798"/>
      <c r="T123" s="798"/>
      <c r="U123" s="798"/>
      <c r="V123" s="355"/>
      <c r="W123" s="355"/>
      <c r="X123" s="355"/>
      <c r="Y123" s="355"/>
      <c r="Z123" s="355"/>
      <c r="AA123" s="351"/>
      <c r="AB123" s="351"/>
      <c r="AC123" s="351"/>
      <c r="AD123" s="351"/>
    </row>
    <row r="124" spans="2:30" ht="12.75">
      <c r="B124" s="1"/>
      <c r="C124" s="12"/>
      <c r="D124" s="1"/>
      <c r="E124" s="351"/>
      <c r="F124" s="351"/>
      <c r="G124" s="355" t="s">
        <v>29</v>
      </c>
      <c r="H124" s="798" t="s">
        <v>568</v>
      </c>
      <c r="I124" s="798"/>
      <c r="J124" s="798"/>
      <c r="K124" s="798"/>
      <c r="L124" s="798"/>
      <c r="M124" s="798"/>
      <c r="N124" s="798"/>
      <c r="O124" s="798"/>
      <c r="P124" s="798"/>
      <c r="Q124" s="798"/>
      <c r="R124" s="798"/>
      <c r="S124" s="798"/>
      <c r="T124" s="798"/>
      <c r="U124" s="355"/>
      <c r="V124" s="355"/>
      <c r="W124" s="355"/>
      <c r="X124" s="355"/>
      <c r="Y124" s="355"/>
      <c r="Z124" s="355"/>
      <c r="AA124" s="351"/>
      <c r="AB124" s="351"/>
      <c r="AC124" s="351"/>
      <c r="AD124" s="351"/>
    </row>
    <row r="125" spans="2:30" ht="6" customHeight="1">
      <c r="B125" s="1"/>
      <c r="C125" s="12"/>
      <c r="D125" s="1"/>
      <c r="E125" s="351"/>
      <c r="F125" s="351"/>
      <c r="G125" s="351"/>
      <c r="H125" s="351"/>
      <c r="I125" s="351"/>
      <c r="J125" s="351"/>
      <c r="K125" s="351"/>
      <c r="L125" s="351"/>
      <c r="M125" s="351"/>
      <c r="N125" s="351"/>
      <c r="O125" s="351"/>
      <c r="P125" s="351"/>
      <c r="Q125" s="351"/>
      <c r="R125" s="351"/>
      <c r="S125" s="351"/>
      <c r="T125" s="351"/>
      <c r="U125" s="351"/>
      <c r="V125" s="351"/>
      <c r="W125" s="351"/>
      <c r="X125" s="351"/>
      <c r="Y125" s="351"/>
      <c r="Z125" s="351"/>
      <c r="AA125" s="351"/>
      <c r="AB125" s="351"/>
      <c r="AC125" s="351"/>
      <c r="AD125" s="351"/>
    </row>
    <row r="126" spans="2:30" ht="12.75">
      <c r="B126" s="1"/>
      <c r="C126" s="799" t="s">
        <v>569</v>
      </c>
      <c r="D126" s="799"/>
      <c r="E126" s="799"/>
      <c r="F126" s="799"/>
      <c r="G126" s="799"/>
      <c r="H126" s="799"/>
      <c r="I126" s="799"/>
      <c r="J126" s="799"/>
      <c r="K126" s="799"/>
      <c r="L126" s="799"/>
      <c r="M126" s="799"/>
      <c r="N126" s="799"/>
      <c r="O126" s="799"/>
      <c r="P126" s="799"/>
      <c r="Q126" s="335"/>
      <c r="R126" s="1"/>
      <c r="S126" s="1"/>
      <c r="T126" s="1"/>
      <c r="U126" s="1"/>
      <c r="V126" s="1"/>
      <c r="W126" s="1"/>
      <c r="X126" s="1"/>
      <c r="Y126" s="1"/>
      <c r="Z126" s="1"/>
      <c r="AA126" s="1"/>
      <c r="AB126" s="1"/>
      <c r="AC126" s="1"/>
      <c r="AD126" s="1"/>
    </row>
    <row r="127" spans="2:30" ht="6.75" customHeight="1">
      <c r="B127" s="1"/>
      <c r="C127" s="12"/>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2:30" ht="12.75" customHeight="1">
      <c r="B128" s="1"/>
      <c r="C128" s="800" t="s">
        <v>610</v>
      </c>
      <c r="D128" s="800"/>
      <c r="E128" s="800"/>
      <c r="F128" s="800"/>
      <c r="G128" s="800"/>
      <c r="H128" s="800"/>
      <c r="I128" s="800"/>
      <c r="J128" s="800"/>
      <c r="K128" s="800"/>
      <c r="L128" s="800"/>
      <c r="M128" s="800"/>
      <c r="N128" s="800"/>
      <c r="O128" s="800"/>
      <c r="P128" s="800"/>
      <c r="Q128" s="800"/>
      <c r="R128" s="800"/>
      <c r="S128" s="800"/>
      <c r="T128" s="800"/>
      <c r="U128" s="800"/>
      <c r="V128" s="800"/>
      <c r="W128" s="800"/>
      <c r="X128" s="800"/>
      <c r="Y128" s="800"/>
      <c r="Z128" s="800"/>
      <c r="AA128" s="800"/>
      <c r="AB128" s="800"/>
      <c r="AC128" s="800"/>
      <c r="AD128" s="800"/>
    </row>
    <row r="129" spans="2:30" ht="12.75" customHeight="1">
      <c r="B129" s="1"/>
      <c r="C129" s="1"/>
      <c r="D129" s="1"/>
      <c r="E129" s="800" t="s">
        <v>611</v>
      </c>
      <c r="F129" s="800"/>
      <c r="G129" s="800"/>
      <c r="H129" s="800"/>
      <c r="I129" s="800"/>
      <c r="J129" s="800"/>
      <c r="K129" s="800"/>
      <c r="L129" s="800"/>
      <c r="M129" s="800"/>
      <c r="N129" s="800"/>
      <c r="O129" s="800"/>
      <c r="P129" s="800"/>
      <c r="Q129" s="800"/>
      <c r="R129" s="800"/>
      <c r="S129" s="800"/>
      <c r="T129" s="800"/>
      <c r="U129" s="800"/>
      <c r="V129" s="800"/>
      <c r="W129" s="800"/>
      <c r="X129" s="800"/>
      <c r="Y129" s="800"/>
      <c r="Z129" s="800"/>
      <c r="AA129" s="1"/>
      <c r="AB129" s="1"/>
      <c r="AC129" s="1"/>
      <c r="AD129" s="1"/>
    </row>
    <row r="130" spans="2:30" ht="12.75" customHeight="1">
      <c r="B130" s="1"/>
      <c r="C130" s="1"/>
      <c r="D130" s="1"/>
      <c r="E130" s="800" t="s">
        <v>612</v>
      </c>
      <c r="F130" s="800"/>
      <c r="G130" s="800"/>
      <c r="H130" s="800"/>
      <c r="I130" s="800"/>
      <c r="J130" s="800"/>
      <c r="K130" s="800"/>
      <c r="L130" s="800"/>
      <c r="M130" s="800"/>
      <c r="N130" s="800"/>
      <c r="O130" s="800"/>
      <c r="P130" s="800"/>
      <c r="Q130" s="800"/>
      <c r="R130" s="800"/>
      <c r="S130" s="800"/>
      <c r="T130" s="800"/>
      <c r="U130" s="800"/>
      <c r="V130" s="800"/>
      <c r="W130" s="800"/>
      <c r="X130" s="800"/>
      <c r="Y130" s="313"/>
      <c r="Z130" s="313"/>
      <c r="AA130" s="1"/>
      <c r="AB130" s="1"/>
      <c r="AC130" s="1"/>
      <c r="AD130" s="1"/>
    </row>
    <row r="131" spans="2:30" ht="9" customHeight="1">
      <c r="B131" s="1"/>
      <c r="C131" s="1"/>
      <c r="D131" s="1"/>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1"/>
      <c r="AB131" s="1"/>
      <c r="AC131" s="1"/>
      <c r="AD131" s="1"/>
    </row>
    <row r="132" spans="2:30" ht="12.75" customHeight="1">
      <c r="B132" s="1"/>
      <c r="C132" s="810" t="s">
        <v>613</v>
      </c>
      <c r="D132" s="810"/>
      <c r="E132" s="810"/>
      <c r="F132" s="810"/>
      <c r="G132" s="810"/>
      <c r="H132" s="810"/>
      <c r="I132" s="810"/>
      <c r="J132" s="810"/>
      <c r="K132" s="810"/>
      <c r="L132" s="810"/>
      <c r="M132" s="810"/>
      <c r="N132" s="810"/>
      <c r="O132" s="810"/>
      <c r="P132" s="810"/>
      <c r="Q132" s="810"/>
      <c r="R132" s="810"/>
      <c r="S132" s="810"/>
      <c r="T132" s="810"/>
      <c r="U132" s="810"/>
      <c r="V132" s="810"/>
      <c r="W132" s="810"/>
      <c r="X132" s="810"/>
      <c r="Y132" s="810"/>
      <c r="Z132" s="810"/>
      <c r="AA132" s="355"/>
      <c r="AB132" s="355"/>
      <c r="AC132" s="355"/>
      <c r="AD132" s="355"/>
    </row>
    <row r="133" spans="2:30" ht="12.75" customHeight="1">
      <c r="B133" s="1"/>
      <c r="C133" s="357"/>
      <c r="D133" s="357"/>
      <c r="E133" s="800" t="s">
        <v>614</v>
      </c>
      <c r="F133" s="800"/>
      <c r="G133" s="800"/>
      <c r="H133" s="800"/>
      <c r="I133" s="800"/>
      <c r="J133" s="800"/>
      <c r="K133" s="800"/>
      <c r="L133" s="800"/>
      <c r="M133" s="800"/>
      <c r="N133" s="800"/>
      <c r="O133" s="800"/>
      <c r="P133" s="800"/>
      <c r="Q133" s="800"/>
      <c r="R133" s="800"/>
      <c r="S133" s="800"/>
      <c r="T133" s="800"/>
      <c r="U133" s="800"/>
      <c r="V133" s="800"/>
      <c r="W133" s="800"/>
      <c r="X133" s="800"/>
      <c r="Y133" s="800"/>
      <c r="Z133" s="800"/>
      <c r="AA133" s="355"/>
      <c r="AB133" s="355"/>
      <c r="AC133" s="355"/>
      <c r="AD133" s="355"/>
    </row>
    <row r="134" spans="2:30" ht="12.75">
      <c r="B134" s="1"/>
      <c r="C134" s="357"/>
      <c r="D134" s="357"/>
      <c r="E134" s="800" t="s">
        <v>615</v>
      </c>
      <c r="F134" s="800"/>
      <c r="G134" s="800"/>
      <c r="H134" s="800"/>
      <c r="I134" s="800"/>
      <c r="J134" s="800"/>
      <c r="K134" s="800"/>
      <c r="L134" s="800"/>
      <c r="M134" s="800"/>
      <c r="N134" s="800"/>
      <c r="O134" s="800"/>
      <c r="P134" s="800"/>
      <c r="Q134" s="800"/>
      <c r="R134" s="800"/>
      <c r="S134" s="800"/>
      <c r="T134" s="800"/>
      <c r="U134" s="800"/>
      <c r="V134" s="800"/>
      <c r="W134" s="800"/>
      <c r="X134" s="800"/>
      <c r="Y134" s="313"/>
      <c r="Z134" s="313"/>
      <c r="AA134" s="355"/>
      <c r="AB134" s="355"/>
      <c r="AC134" s="355"/>
      <c r="AD134" s="355"/>
    </row>
    <row r="135" spans="2:30" ht="15" customHeight="1">
      <c r="B135" s="1"/>
      <c r="C135" s="355"/>
      <c r="D135" s="355"/>
      <c r="E135" s="798" t="s">
        <v>616</v>
      </c>
      <c r="F135" s="798"/>
      <c r="G135" s="798"/>
      <c r="H135" s="798"/>
      <c r="I135" s="798"/>
      <c r="J135" s="798"/>
      <c r="K135" s="798"/>
      <c r="L135" s="798"/>
      <c r="M135" s="798"/>
      <c r="N135" s="798"/>
      <c r="O135" s="798"/>
      <c r="P135" s="798"/>
      <c r="Q135" s="798"/>
      <c r="R135" s="798"/>
      <c r="S135" s="798"/>
      <c r="T135" s="798"/>
      <c r="U135" s="798"/>
      <c r="V135" s="798"/>
      <c r="W135" s="798"/>
      <c r="X135" s="798"/>
      <c r="Y135" s="798"/>
      <c r="Z135" s="798"/>
      <c r="AA135" s="798"/>
      <c r="AB135" s="798"/>
      <c r="AC135" s="798"/>
      <c r="AD135" s="798"/>
    </row>
    <row r="136" spans="2:30" ht="12.75" customHeight="1">
      <c r="B136" s="1"/>
      <c r="C136" s="355"/>
      <c r="D136" s="355"/>
      <c r="E136" s="798" t="s">
        <v>617</v>
      </c>
      <c r="F136" s="798"/>
      <c r="G136" s="798"/>
      <c r="H136" s="798"/>
      <c r="I136" s="798"/>
      <c r="J136" s="798"/>
      <c r="K136" s="798"/>
      <c r="L136" s="798"/>
      <c r="M136" s="798"/>
      <c r="N136" s="798"/>
      <c r="O136" s="798"/>
      <c r="P136" s="798"/>
      <c r="Q136" s="798"/>
      <c r="R136" s="798"/>
      <c r="S136" s="798"/>
      <c r="T136" s="798"/>
      <c r="U136" s="798"/>
      <c r="V136" s="798"/>
      <c r="W136" s="798"/>
      <c r="X136" s="798"/>
      <c r="Y136" s="798"/>
      <c r="Z136" s="798"/>
      <c r="AA136" s="798"/>
      <c r="AB136" s="798"/>
      <c r="AC136" s="798"/>
      <c r="AD136" s="798"/>
    </row>
    <row r="137" spans="2:30" ht="12.75" customHeight="1">
      <c r="B137" s="1"/>
      <c r="C137" s="355"/>
      <c r="D137" s="355"/>
      <c r="E137" s="351"/>
      <c r="F137" s="351"/>
      <c r="G137" s="798" t="s">
        <v>618</v>
      </c>
      <c r="H137" s="798"/>
      <c r="I137" s="798"/>
      <c r="J137" s="798"/>
      <c r="K137" s="798"/>
      <c r="L137" s="798"/>
      <c r="M137" s="798"/>
      <c r="N137" s="798"/>
      <c r="O137" s="798"/>
      <c r="P137" s="798"/>
      <c r="Q137" s="798"/>
      <c r="R137" s="798"/>
      <c r="S137" s="798"/>
      <c r="T137" s="798"/>
      <c r="U137" s="798"/>
      <c r="V137" s="798"/>
      <c r="W137" s="798"/>
      <c r="X137" s="798"/>
      <c r="Y137" s="798"/>
      <c r="Z137" s="798"/>
      <c r="AA137" s="798"/>
      <c r="AB137" s="798"/>
      <c r="AC137" s="798"/>
      <c r="AD137" s="798"/>
    </row>
    <row r="138" spans="2:30" ht="12.75" customHeight="1">
      <c r="B138" s="1"/>
      <c r="C138" s="351"/>
      <c r="D138" s="351"/>
      <c r="E138" s="351"/>
      <c r="F138" s="351"/>
      <c r="G138" s="798" t="s">
        <v>570</v>
      </c>
      <c r="H138" s="798"/>
      <c r="I138" s="798"/>
      <c r="J138" s="351"/>
      <c r="K138" s="351"/>
      <c r="L138" s="351"/>
      <c r="M138" s="1"/>
      <c r="N138" s="355"/>
      <c r="O138" s="351"/>
      <c r="P138" s="798" t="s">
        <v>571</v>
      </c>
      <c r="Q138" s="798"/>
      <c r="R138" s="798"/>
      <c r="S138" s="798"/>
      <c r="T138" s="798"/>
      <c r="U138" s="798"/>
      <c r="V138" s="798"/>
      <c r="W138" s="798"/>
      <c r="X138" s="798"/>
      <c r="Y138" s="351"/>
      <c r="Z138" s="798" t="s">
        <v>572</v>
      </c>
      <c r="AA138" s="798"/>
      <c r="AB138" s="798"/>
      <c r="AC138" s="798"/>
      <c r="AD138" s="798"/>
    </row>
    <row r="139" spans="2:30" ht="12.75" customHeight="1">
      <c r="B139" s="1"/>
      <c r="C139" s="351"/>
      <c r="D139" s="351"/>
      <c r="E139" s="351"/>
      <c r="F139" s="351"/>
      <c r="G139" s="798" t="s">
        <v>573</v>
      </c>
      <c r="H139" s="798"/>
      <c r="I139" s="798"/>
      <c r="J139" s="798"/>
      <c r="K139" s="798"/>
      <c r="L139" s="798"/>
      <c r="M139" s="798"/>
      <c r="N139" s="798"/>
      <c r="O139" s="355"/>
      <c r="P139" s="798" t="s">
        <v>574</v>
      </c>
      <c r="Q139" s="798"/>
      <c r="R139" s="798"/>
      <c r="S139" s="798"/>
      <c r="T139" s="798"/>
      <c r="U139" s="798"/>
      <c r="V139" s="798"/>
      <c r="W139" s="798"/>
      <c r="X139" s="798"/>
      <c r="Y139" s="351"/>
      <c r="Z139" s="798" t="s">
        <v>575</v>
      </c>
      <c r="AA139" s="798"/>
      <c r="AB139" s="798"/>
      <c r="AC139" s="798"/>
      <c r="AD139" s="798"/>
    </row>
    <row r="140" spans="2:30" ht="12.75">
      <c r="B140" s="1"/>
      <c r="C140" s="351"/>
      <c r="D140" s="351"/>
      <c r="E140" s="351"/>
      <c r="F140" s="351"/>
      <c r="G140" s="798" t="s">
        <v>576</v>
      </c>
      <c r="H140" s="798"/>
      <c r="I140" s="798"/>
      <c r="J140" s="798"/>
      <c r="K140" s="798"/>
      <c r="L140" s="798"/>
      <c r="M140" s="798"/>
      <c r="N140" s="798"/>
      <c r="O140" s="355"/>
      <c r="P140" s="798" t="s">
        <v>577</v>
      </c>
      <c r="Q140" s="798"/>
      <c r="R140" s="798"/>
      <c r="S140" s="798"/>
      <c r="T140" s="798"/>
      <c r="U140" s="798"/>
      <c r="V140" s="798"/>
      <c r="W140" s="798"/>
      <c r="X140" s="355"/>
      <c r="Y140" s="351"/>
      <c r="Z140" s="798" t="s">
        <v>578</v>
      </c>
      <c r="AA140" s="798"/>
      <c r="AB140" s="798"/>
      <c r="AC140" s="798"/>
      <c r="AD140" s="798"/>
    </row>
    <row r="141" spans="2:30" ht="12.75">
      <c r="B141" s="1"/>
      <c r="C141" s="351"/>
      <c r="D141" s="351"/>
      <c r="E141" s="351"/>
      <c r="F141" s="351"/>
      <c r="G141" s="798" t="s">
        <v>579</v>
      </c>
      <c r="H141" s="798"/>
      <c r="I141" s="798"/>
      <c r="J141" s="798"/>
      <c r="K141" s="798"/>
      <c r="L141" s="798"/>
      <c r="M141" s="798"/>
      <c r="N141" s="798"/>
      <c r="O141" s="798"/>
      <c r="P141" s="800" t="s">
        <v>580</v>
      </c>
      <c r="Q141" s="800"/>
      <c r="R141" s="800"/>
      <c r="S141" s="800"/>
      <c r="T141" s="800"/>
      <c r="U141" s="800"/>
      <c r="V141" s="800"/>
      <c r="W141" s="800"/>
      <c r="X141" s="800"/>
      <c r="Y141" s="351"/>
      <c r="Z141" s="351"/>
      <c r="AA141" s="351"/>
      <c r="AB141" s="351"/>
      <c r="AC141" s="351"/>
      <c r="AD141" s="351"/>
    </row>
    <row r="142" spans="2:30" ht="4.5" customHeight="1">
      <c r="B142" s="1"/>
      <c r="C142" s="287"/>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2:30" ht="12.75" customHeight="1">
      <c r="B143" s="1"/>
      <c r="C143" s="800" t="s">
        <v>619</v>
      </c>
      <c r="D143" s="800"/>
      <c r="E143" s="800"/>
      <c r="F143" s="800"/>
      <c r="G143" s="800"/>
      <c r="H143" s="800"/>
      <c r="I143" s="800"/>
      <c r="J143" s="800"/>
      <c r="K143" s="800"/>
      <c r="L143" s="800"/>
      <c r="M143" s="800"/>
      <c r="N143" s="800"/>
      <c r="O143" s="800"/>
      <c r="P143" s="800"/>
      <c r="Q143" s="800"/>
      <c r="R143" s="800"/>
      <c r="S143" s="800"/>
      <c r="T143" s="800"/>
      <c r="U143" s="800"/>
      <c r="V143" s="800"/>
      <c r="W143" s="800"/>
      <c r="X143" s="800"/>
      <c r="Y143" s="800"/>
      <c r="Z143" s="800"/>
      <c r="AA143" s="800"/>
      <c r="AB143" s="800"/>
      <c r="AC143" s="800"/>
      <c r="AD143" s="800"/>
    </row>
    <row r="144" spans="2:30" ht="12.75" customHeight="1">
      <c r="B144" s="1"/>
      <c r="C144" s="313"/>
      <c r="D144" s="313"/>
      <c r="E144" s="800" t="s">
        <v>611</v>
      </c>
      <c r="F144" s="800"/>
      <c r="G144" s="800"/>
      <c r="H144" s="800"/>
      <c r="I144" s="800"/>
      <c r="J144" s="800"/>
      <c r="K144" s="800"/>
      <c r="L144" s="800"/>
      <c r="M144" s="800"/>
      <c r="N144" s="800"/>
      <c r="O144" s="800"/>
      <c r="P144" s="800"/>
      <c r="Q144" s="800"/>
      <c r="R144" s="800"/>
      <c r="S144" s="800"/>
      <c r="T144" s="800"/>
      <c r="U144" s="800"/>
      <c r="V144" s="800"/>
      <c r="W144" s="800"/>
      <c r="X144" s="800"/>
      <c r="Y144" s="800"/>
      <c r="Z144" s="800"/>
      <c r="AA144" s="313"/>
      <c r="AB144" s="313"/>
      <c r="AC144" s="313"/>
      <c r="AD144" s="313"/>
    </row>
    <row r="145" spans="2:30" ht="12.75">
      <c r="B145" s="1"/>
      <c r="C145" s="313"/>
      <c r="D145" s="313"/>
      <c r="E145" s="800" t="s">
        <v>620</v>
      </c>
      <c r="F145" s="800"/>
      <c r="G145" s="800"/>
      <c r="H145" s="800"/>
      <c r="I145" s="800"/>
      <c r="J145" s="800"/>
      <c r="K145" s="800"/>
      <c r="L145" s="800"/>
      <c r="M145" s="800"/>
      <c r="N145" s="800"/>
      <c r="O145" s="800"/>
      <c r="P145" s="800"/>
      <c r="Q145" s="800"/>
      <c r="R145" s="800"/>
      <c r="S145" s="800"/>
      <c r="T145" s="800"/>
      <c r="U145" s="800"/>
      <c r="V145" s="800"/>
      <c r="W145" s="800"/>
      <c r="X145" s="800"/>
      <c r="Y145" s="313"/>
      <c r="Z145" s="313"/>
      <c r="AA145" s="313"/>
      <c r="AB145" s="313"/>
      <c r="AC145" s="313"/>
      <c r="AD145" s="313"/>
    </row>
    <row r="146" spans="2:30" ht="5.25" customHeight="1">
      <c r="B146" s="1"/>
      <c r="C146" s="287"/>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2:30" ht="15" customHeight="1">
      <c r="B147" s="1"/>
      <c r="C147" s="810" t="s">
        <v>621</v>
      </c>
      <c r="D147" s="810"/>
      <c r="E147" s="810"/>
      <c r="F147" s="810"/>
      <c r="G147" s="810"/>
      <c r="H147" s="810"/>
      <c r="I147" s="810"/>
      <c r="J147" s="810"/>
      <c r="K147" s="810"/>
      <c r="L147" s="810"/>
      <c r="M147" s="810"/>
      <c r="N147" s="810"/>
      <c r="O147" s="810"/>
      <c r="P147" s="810"/>
      <c r="Q147" s="810"/>
      <c r="R147" s="810"/>
      <c r="S147" s="810"/>
      <c r="T147" s="810"/>
      <c r="U147" s="810"/>
      <c r="V147" s="810"/>
      <c r="W147" s="810"/>
      <c r="X147" s="810"/>
      <c r="Y147" s="810"/>
      <c r="Z147" s="810"/>
      <c r="AA147" s="810"/>
      <c r="AB147" s="810"/>
      <c r="AC147" s="810"/>
      <c r="AD147" s="810"/>
    </row>
    <row r="148" spans="2:30" ht="12.75">
      <c r="B148" s="1"/>
      <c r="C148" s="810"/>
      <c r="D148" s="810"/>
      <c r="E148" s="810"/>
      <c r="F148" s="810"/>
      <c r="G148" s="810"/>
      <c r="H148" s="810"/>
      <c r="I148" s="810"/>
      <c r="J148" s="810"/>
      <c r="K148" s="810"/>
      <c r="L148" s="810"/>
      <c r="M148" s="810"/>
      <c r="N148" s="810"/>
      <c r="O148" s="810"/>
      <c r="P148" s="810"/>
      <c r="Q148" s="810"/>
      <c r="R148" s="810"/>
      <c r="S148" s="810"/>
      <c r="T148" s="810"/>
      <c r="U148" s="810"/>
      <c r="V148" s="810"/>
      <c r="W148" s="810"/>
      <c r="X148" s="810"/>
      <c r="Y148" s="810"/>
      <c r="Z148" s="810"/>
      <c r="AA148" s="810"/>
      <c r="AB148" s="810"/>
      <c r="AC148" s="810"/>
      <c r="AD148" s="810"/>
    </row>
    <row r="149" spans="2:30" ht="12.75">
      <c r="B149" s="1"/>
      <c r="C149" s="355"/>
      <c r="D149" s="355"/>
      <c r="E149" s="798" t="s">
        <v>581</v>
      </c>
      <c r="F149" s="798"/>
      <c r="G149" s="798"/>
      <c r="H149" s="798"/>
      <c r="I149" s="798"/>
      <c r="J149" s="798"/>
      <c r="K149" s="798"/>
      <c r="L149" s="798"/>
      <c r="M149" s="798"/>
      <c r="N149" s="798"/>
      <c r="O149" s="798"/>
      <c r="P149" s="798"/>
      <c r="Q149" s="798"/>
      <c r="R149" s="798"/>
      <c r="S149" s="798"/>
      <c r="T149" s="798"/>
      <c r="U149" s="798"/>
      <c r="V149" s="798"/>
      <c r="W149" s="798"/>
      <c r="X149" s="798"/>
      <c r="Y149" s="798"/>
      <c r="Z149" s="798"/>
      <c r="AA149" s="798"/>
      <c r="AB149" s="798"/>
      <c r="AC149" s="798"/>
      <c r="AD149" s="798"/>
    </row>
    <row r="150" spans="2:30" ht="12.75">
      <c r="B150" s="1"/>
      <c r="C150" s="355"/>
      <c r="D150" s="355"/>
      <c r="E150" s="798" t="s">
        <v>582</v>
      </c>
      <c r="F150" s="798"/>
      <c r="G150" s="798"/>
      <c r="H150" s="798"/>
      <c r="I150" s="798"/>
      <c r="J150" s="798"/>
      <c r="K150" s="798"/>
      <c r="L150" s="798"/>
      <c r="M150" s="798"/>
      <c r="N150" s="798"/>
      <c r="O150" s="798"/>
      <c r="P150" s="798"/>
      <c r="Q150" s="798"/>
      <c r="R150" s="798"/>
      <c r="S150" s="798"/>
      <c r="T150" s="798"/>
      <c r="U150" s="798"/>
      <c r="V150" s="798"/>
      <c r="W150" s="798"/>
      <c r="X150" s="798"/>
      <c r="Y150" s="798"/>
      <c r="Z150" s="798"/>
      <c r="AA150" s="798"/>
      <c r="AB150" s="798"/>
      <c r="AC150" s="798"/>
      <c r="AD150" s="798"/>
    </row>
    <row r="151" spans="2:30" ht="12.75">
      <c r="B151" s="1"/>
      <c r="C151" s="355"/>
      <c r="D151" s="355"/>
      <c r="E151" s="798" t="s">
        <v>583</v>
      </c>
      <c r="F151" s="798"/>
      <c r="G151" s="798"/>
      <c r="H151" s="798"/>
      <c r="I151" s="798"/>
      <c r="J151" s="798"/>
      <c r="K151" s="798"/>
      <c r="L151" s="798"/>
      <c r="M151" s="798"/>
      <c r="N151" s="798"/>
      <c r="O151" s="798"/>
      <c r="P151" s="798"/>
      <c r="Q151" s="798"/>
      <c r="R151" s="798"/>
      <c r="S151" s="798"/>
      <c r="T151" s="798"/>
      <c r="U151" s="798"/>
      <c r="V151" s="798"/>
      <c r="W151" s="798"/>
      <c r="X151" s="798"/>
      <c r="Y151" s="798"/>
      <c r="Z151" s="798"/>
      <c r="AA151" s="798"/>
      <c r="AB151" s="798"/>
      <c r="AC151" s="798"/>
      <c r="AD151" s="798"/>
    </row>
    <row r="152" spans="2:30" ht="12.75">
      <c r="B152" s="1"/>
      <c r="C152" s="355"/>
      <c r="D152" s="355"/>
      <c r="E152" s="798" t="s">
        <v>584</v>
      </c>
      <c r="F152" s="798"/>
      <c r="G152" s="798"/>
      <c r="H152" s="798"/>
      <c r="I152" s="798"/>
      <c r="J152" s="798"/>
      <c r="K152" s="798"/>
      <c r="L152" s="798"/>
      <c r="M152" s="798"/>
      <c r="N152" s="798"/>
      <c r="O152" s="798"/>
      <c r="P152" s="798"/>
      <c r="Q152" s="798"/>
      <c r="R152" s="798"/>
      <c r="S152" s="798"/>
      <c r="T152" s="798"/>
      <c r="U152" s="798"/>
      <c r="V152" s="798"/>
      <c r="W152" s="798"/>
      <c r="X152" s="798"/>
      <c r="Y152" s="798"/>
      <c r="Z152" s="798"/>
      <c r="AA152" s="798"/>
      <c r="AB152" s="798"/>
      <c r="AC152" s="798"/>
      <c r="AD152" s="798"/>
    </row>
    <row r="153" spans="2:30" ht="12.75">
      <c r="B153" s="1"/>
      <c r="C153" s="355"/>
      <c r="D153" s="355"/>
      <c r="E153" s="798" t="s">
        <v>585</v>
      </c>
      <c r="F153" s="798"/>
      <c r="G153" s="798"/>
      <c r="H153" s="798"/>
      <c r="I153" s="798"/>
      <c r="J153" s="798"/>
      <c r="K153" s="798"/>
      <c r="L153" s="798"/>
      <c r="M153" s="798"/>
      <c r="N153" s="798"/>
      <c r="O153" s="798"/>
      <c r="P153" s="798"/>
      <c r="Q153" s="798"/>
      <c r="R153" s="798"/>
      <c r="S153" s="798"/>
      <c r="T153" s="798"/>
      <c r="U153" s="798"/>
      <c r="V153" s="798"/>
      <c r="W153" s="798"/>
      <c r="X153" s="798"/>
      <c r="Y153" s="798"/>
      <c r="Z153" s="798"/>
      <c r="AA153" s="798"/>
      <c r="AB153" s="798"/>
      <c r="AC153" s="798"/>
      <c r="AD153" s="798"/>
    </row>
    <row r="154" spans="2:30" ht="5.25" customHeight="1">
      <c r="B154" s="1"/>
      <c r="C154" s="287"/>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2:30" ht="12.75">
      <c r="B155" s="1"/>
      <c r="C155" s="12" t="s">
        <v>494</v>
      </c>
      <c r="D155" s="1"/>
      <c r="E155" s="798" t="s">
        <v>622</v>
      </c>
      <c r="F155" s="798"/>
      <c r="G155" s="798"/>
      <c r="H155" s="798"/>
      <c r="I155" s="798"/>
      <c r="J155" s="798"/>
      <c r="K155" s="798"/>
      <c r="L155" s="798"/>
      <c r="M155" s="798"/>
      <c r="N155" s="798"/>
      <c r="O155" s="798"/>
      <c r="P155" s="798"/>
      <c r="Q155" s="798"/>
      <c r="R155" s="798"/>
      <c r="S155" s="798"/>
      <c r="T155" s="798"/>
      <c r="U155" s="798"/>
      <c r="V155" s="798"/>
      <c r="W155" s="798"/>
      <c r="X155" s="798"/>
      <c r="Y155" s="798"/>
      <c r="Z155" s="798"/>
      <c r="AA155" s="798"/>
      <c r="AB155" s="798"/>
      <c r="AC155" s="798"/>
      <c r="AD155" s="798"/>
    </row>
    <row r="156" spans="2:30" ht="12.75">
      <c r="B156" s="1"/>
      <c r="C156" s="1"/>
      <c r="D156" s="1"/>
      <c r="E156" s="798"/>
      <c r="F156" s="798"/>
      <c r="G156" s="798"/>
      <c r="H156" s="798"/>
      <c r="I156" s="798"/>
      <c r="J156" s="798"/>
      <c r="K156" s="798"/>
      <c r="L156" s="798"/>
      <c r="M156" s="798"/>
      <c r="N156" s="798"/>
      <c r="O156" s="798"/>
      <c r="P156" s="798"/>
      <c r="Q156" s="798"/>
      <c r="R156" s="798"/>
      <c r="S156" s="798"/>
      <c r="T156" s="798"/>
      <c r="U156" s="798"/>
      <c r="V156" s="798"/>
      <c r="W156" s="798"/>
      <c r="X156" s="798"/>
      <c r="Y156" s="798"/>
      <c r="Z156" s="798"/>
      <c r="AA156" s="798"/>
      <c r="AB156" s="798"/>
      <c r="AC156" s="798"/>
      <c r="AD156" s="798"/>
    </row>
    <row r="157" spans="2:30" ht="4.5" customHeight="1">
      <c r="B157" s="1"/>
      <c r="C157" s="358"/>
      <c r="D157" s="1"/>
      <c r="E157" s="351"/>
      <c r="F157" s="351"/>
      <c r="G157" s="351"/>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row>
    <row r="158" spans="2:30" ht="27" customHeight="1">
      <c r="B158" s="1"/>
      <c r="C158" s="336" t="s">
        <v>623</v>
      </c>
      <c r="D158" s="336"/>
      <c r="E158" s="798" t="s">
        <v>586</v>
      </c>
      <c r="F158" s="798"/>
      <c r="G158" s="798"/>
      <c r="H158" s="798"/>
      <c r="I158" s="798"/>
      <c r="J158" s="798"/>
      <c r="K158" s="798"/>
      <c r="L158" s="798"/>
      <c r="M158" s="798"/>
      <c r="N158" s="798"/>
      <c r="O158" s="798"/>
      <c r="P158" s="798"/>
      <c r="Q158" s="798"/>
      <c r="R158" s="798"/>
      <c r="S158" s="798"/>
      <c r="T158" s="798"/>
      <c r="U158" s="798"/>
      <c r="V158" s="798"/>
      <c r="W158" s="798"/>
      <c r="X158" s="798"/>
      <c r="Y158" s="798"/>
      <c r="Z158" s="798"/>
      <c r="AA158" s="798"/>
      <c r="AB158" s="798"/>
      <c r="AC158" s="798"/>
      <c r="AD158" s="798"/>
    </row>
    <row r="159" spans="2:30" ht="12.75">
      <c r="B159" s="1"/>
      <c r="C159" s="337" t="s">
        <v>833</v>
      </c>
      <c r="D159" s="337"/>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sheetData>
  <sheetProtection password="860F" sheet="1" selectLockedCells="1"/>
  <mergeCells count="314">
    <mergeCell ref="AA43:AD43"/>
    <mergeCell ref="AA44:AD44"/>
    <mergeCell ref="V44:W44"/>
    <mergeCell ref="E158:AD158"/>
    <mergeCell ref="T42:U42"/>
    <mergeCell ref="R45:S45"/>
    <mergeCell ref="C55:M55"/>
    <mergeCell ref="N55:Q55"/>
    <mergeCell ref="T54:U54"/>
    <mergeCell ref="C45:M45"/>
    <mergeCell ref="T43:U43"/>
    <mergeCell ref="AA46:AD46"/>
    <mergeCell ref="J16:V16"/>
    <mergeCell ref="R43:S43"/>
    <mergeCell ref="C42:M42"/>
    <mergeCell ref="N42:Q42"/>
    <mergeCell ref="D17:H17"/>
    <mergeCell ref="AA39:AD39"/>
    <mergeCell ref="N17:Q17"/>
    <mergeCell ref="N40:Q40"/>
    <mergeCell ref="W11:AD11"/>
    <mergeCell ref="R12:X12"/>
    <mergeCell ref="G12:H12"/>
    <mergeCell ref="AA40:AD40"/>
    <mergeCell ref="X40:Z40"/>
    <mergeCell ref="Z26:AD26"/>
    <mergeCell ref="AA37:AD37"/>
    <mergeCell ref="AA38:AD38"/>
    <mergeCell ref="I17:K17"/>
    <mergeCell ref="L17:M17"/>
    <mergeCell ref="Q6:R6"/>
    <mergeCell ref="A1:AD1"/>
    <mergeCell ref="A2:AD2"/>
    <mergeCell ref="A3:AD3"/>
    <mergeCell ref="A4:AD4"/>
    <mergeCell ref="B6:D6"/>
    <mergeCell ref="V6:Z6"/>
    <mergeCell ref="AA6:AD6"/>
    <mergeCell ref="J6:P6"/>
    <mergeCell ref="B11:F11"/>
    <mergeCell ref="C9:F9"/>
    <mergeCell ref="B12:E12"/>
    <mergeCell ref="K11:O11"/>
    <mergeCell ref="G11:H11"/>
    <mergeCell ref="P9:R9"/>
    <mergeCell ref="S9:U9"/>
    <mergeCell ref="S6:U6"/>
    <mergeCell ref="E6:H6"/>
    <mergeCell ref="B13:E13"/>
    <mergeCell ref="C43:M43"/>
    <mergeCell ref="N43:Q43"/>
    <mergeCell ref="Q18:S18"/>
    <mergeCell ref="E19:I19"/>
    <mergeCell ref="K20:M20"/>
    <mergeCell ref="P20:Q20"/>
    <mergeCell ref="E18:P18"/>
    <mergeCell ref="C37:M37"/>
    <mergeCell ref="B22:C22"/>
    <mergeCell ref="C40:M40"/>
    <mergeCell ref="J19:L19"/>
    <mergeCell ref="N37:Q37"/>
    <mergeCell ref="Z13:AD13"/>
    <mergeCell ref="F13:J13"/>
    <mergeCell ref="L13:P13"/>
    <mergeCell ref="Q13:U13"/>
    <mergeCell ref="I20:J20"/>
    <mergeCell ref="Q19:S19"/>
    <mergeCell ref="D15:AD15"/>
    <mergeCell ref="D16:G16"/>
    <mergeCell ref="AA16:AD16"/>
    <mergeCell ref="X16:Z16"/>
    <mergeCell ref="S27:U27"/>
    <mergeCell ref="B21:J21"/>
    <mergeCell ref="S20:U20"/>
    <mergeCell ref="K21:O21"/>
    <mergeCell ref="V38:W38"/>
    <mergeCell ref="S31:U31"/>
    <mergeCell ref="S28:U28"/>
    <mergeCell ref="V37:W37"/>
    <mergeCell ref="T21:V21"/>
    <mergeCell ref="T37:U37"/>
    <mergeCell ref="T19:U19"/>
    <mergeCell ref="H16:I16"/>
    <mergeCell ref="T53:U53"/>
    <mergeCell ref="N49:Q49"/>
    <mergeCell ref="C48:M48"/>
    <mergeCell ref="U18:W18"/>
    <mergeCell ref="C38:M38"/>
    <mergeCell ref="D22:I22"/>
    <mergeCell ref="T52:U52"/>
    <mergeCell ref="V53:W53"/>
    <mergeCell ref="N44:Q44"/>
    <mergeCell ref="R46:S46"/>
    <mergeCell ref="N45:Q45"/>
    <mergeCell ref="R44:S44"/>
    <mergeCell ref="C47:M47"/>
    <mergeCell ref="N47:Q47"/>
    <mergeCell ref="C46:M46"/>
    <mergeCell ref="N46:Q46"/>
    <mergeCell ref="C44:M44"/>
    <mergeCell ref="C49:M49"/>
    <mergeCell ref="C53:M53"/>
    <mergeCell ref="AA55:AD55"/>
    <mergeCell ref="V55:W55"/>
    <mergeCell ref="C50:M50"/>
    <mergeCell ref="AA52:AD52"/>
    <mergeCell ref="N50:Q50"/>
    <mergeCell ref="X55:Z55"/>
    <mergeCell ref="R52:S52"/>
    <mergeCell ref="R55:S55"/>
    <mergeCell ref="N57:Q57"/>
    <mergeCell ref="R57:S57"/>
    <mergeCell ref="T55:U55"/>
    <mergeCell ref="X50:Z50"/>
    <mergeCell ref="X49:Z49"/>
    <mergeCell ref="T50:U50"/>
    <mergeCell ref="R50:S50"/>
    <mergeCell ref="R56:S56"/>
    <mergeCell ref="X51:Z51"/>
    <mergeCell ref="N54:Q54"/>
    <mergeCell ref="C56:M56"/>
    <mergeCell ref="N56:Q56"/>
    <mergeCell ref="AA56:AD56"/>
    <mergeCell ref="AA57:AD57"/>
    <mergeCell ref="AA48:AD48"/>
    <mergeCell ref="R49:S49"/>
    <mergeCell ref="AA50:AD50"/>
    <mergeCell ref="AA49:AD49"/>
    <mergeCell ref="V50:W50"/>
    <mergeCell ref="V54:W54"/>
    <mergeCell ref="X58:Z58"/>
    <mergeCell ref="X59:Z59"/>
    <mergeCell ref="V58:W58"/>
    <mergeCell ref="V56:W56"/>
    <mergeCell ref="V57:W57"/>
    <mergeCell ref="V59:W59"/>
    <mergeCell ref="AA58:AD58"/>
    <mergeCell ref="C58:M58"/>
    <mergeCell ref="N58:Q58"/>
    <mergeCell ref="R58:S58"/>
    <mergeCell ref="C57:M57"/>
    <mergeCell ref="X56:Z56"/>
    <mergeCell ref="T58:U58"/>
    <mergeCell ref="T56:U56"/>
    <mergeCell ref="T57:U57"/>
    <mergeCell ref="X57:Z57"/>
    <mergeCell ref="X61:Z61"/>
    <mergeCell ref="X60:Z60"/>
    <mergeCell ref="N59:Q59"/>
    <mergeCell ref="AA53:AD53"/>
    <mergeCell ref="C51:M51"/>
    <mergeCell ref="N51:Q51"/>
    <mergeCell ref="R51:S51"/>
    <mergeCell ref="N52:Q52"/>
    <mergeCell ref="C52:M52"/>
    <mergeCell ref="T51:U51"/>
    <mergeCell ref="T59:U59"/>
    <mergeCell ref="T60:U60"/>
    <mergeCell ref="T61:U61"/>
    <mergeCell ref="AA59:AD59"/>
    <mergeCell ref="C61:M61"/>
    <mergeCell ref="R60:S60"/>
    <mergeCell ref="R61:S61"/>
    <mergeCell ref="AA60:AD60"/>
    <mergeCell ref="AA61:AD61"/>
    <mergeCell ref="V61:W61"/>
    <mergeCell ref="C59:M59"/>
    <mergeCell ref="C60:M60"/>
    <mergeCell ref="C62:M62"/>
    <mergeCell ref="N62:Q62"/>
    <mergeCell ref="R62:S62"/>
    <mergeCell ref="N60:Q60"/>
    <mergeCell ref="N61:Q61"/>
    <mergeCell ref="V60:W60"/>
    <mergeCell ref="R59:S59"/>
    <mergeCell ref="E113:AD113"/>
    <mergeCell ref="E115:Z115"/>
    <mergeCell ref="G84:AB87"/>
    <mergeCell ref="E90:F90"/>
    <mergeCell ref="G90:AB91"/>
    <mergeCell ref="T62:U62"/>
    <mergeCell ref="C69:V69"/>
    <mergeCell ref="A67:AD67"/>
    <mergeCell ref="C70:V70"/>
    <mergeCell ref="AB65:AD65"/>
    <mergeCell ref="X62:Z62"/>
    <mergeCell ref="AA62:AD62"/>
    <mergeCell ref="A69:B69"/>
    <mergeCell ref="AB64:AD64"/>
    <mergeCell ref="V62:W62"/>
    <mergeCell ref="E111:V111"/>
    <mergeCell ref="E75:AD75"/>
    <mergeCell ref="E76:AD76"/>
    <mergeCell ref="C77:AD77"/>
    <mergeCell ref="E83:AB83"/>
    <mergeCell ref="H92:O92"/>
    <mergeCell ref="E152:AD152"/>
    <mergeCell ref="E153:AD153"/>
    <mergeCell ref="E155:AD156"/>
    <mergeCell ref="Q21:R21"/>
    <mergeCell ref="G141:O141"/>
    <mergeCell ref="P141:X141"/>
    <mergeCell ref="C143:AD143"/>
    <mergeCell ref="E144:Z144"/>
    <mergeCell ref="E145:X145"/>
    <mergeCell ref="B73:AD73"/>
    <mergeCell ref="E135:AD135"/>
    <mergeCell ref="E136:AD136"/>
    <mergeCell ref="G137:AD137"/>
    <mergeCell ref="G138:I138"/>
    <mergeCell ref="P138:X138"/>
    <mergeCell ref="Z138:AD138"/>
    <mergeCell ref="C128:AD128"/>
    <mergeCell ref="E129:Z129"/>
    <mergeCell ref="E130:X130"/>
    <mergeCell ref="C132:Z132"/>
    <mergeCell ref="E133:Z133"/>
    <mergeCell ref="E134:X134"/>
    <mergeCell ref="E150:AD150"/>
    <mergeCell ref="E151:AD151"/>
    <mergeCell ref="G139:N139"/>
    <mergeCell ref="P139:X139"/>
    <mergeCell ref="Z139:AD139"/>
    <mergeCell ref="G140:N140"/>
    <mergeCell ref="E149:AD149"/>
    <mergeCell ref="P140:W140"/>
    <mergeCell ref="Z140:AD140"/>
    <mergeCell ref="C147:AD148"/>
    <mergeCell ref="E116:AD117"/>
    <mergeCell ref="E108:AD108"/>
    <mergeCell ref="E123:G123"/>
    <mergeCell ref="H123:U123"/>
    <mergeCell ref="V51:W51"/>
    <mergeCell ref="V52:W52"/>
    <mergeCell ref="C54:M54"/>
    <mergeCell ref="X70:AD70"/>
    <mergeCell ref="X69:AD69"/>
    <mergeCell ref="AB66:AD66"/>
    <mergeCell ref="H124:T124"/>
    <mergeCell ref="C126:P126"/>
    <mergeCell ref="R92:AB92"/>
    <mergeCell ref="H93:O93"/>
    <mergeCell ref="R93:AB93"/>
    <mergeCell ref="H94:O94"/>
    <mergeCell ref="E96:AD96"/>
    <mergeCell ref="C116:C120"/>
    <mergeCell ref="E119:X119"/>
    <mergeCell ref="E120:AD121"/>
    <mergeCell ref="Z19:AB19"/>
    <mergeCell ref="M19:P19"/>
    <mergeCell ref="T41:U41"/>
    <mergeCell ref="V43:W43"/>
    <mergeCell ref="V39:W39"/>
    <mergeCell ref="V40:W40"/>
    <mergeCell ref="AB28:AD28"/>
    <mergeCell ref="T38:U38"/>
    <mergeCell ref="R38:S38"/>
    <mergeCell ref="C41:M41"/>
    <mergeCell ref="T47:U47"/>
    <mergeCell ref="T46:U46"/>
    <mergeCell ref="T45:U45"/>
    <mergeCell ref="T48:U48"/>
    <mergeCell ref="X45:Z45"/>
    <mergeCell ref="X46:Z46"/>
    <mergeCell ref="X47:Z47"/>
    <mergeCell ref="V47:W47"/>
    <mergeCell ref="R37:S37"/>
    <mergeCell ref="T39:U39"/>
    <mergeCell ref="C39:M39"/>
    <mergeCell ref="R40:S40"/>
    <mergeCell ref="N39:Q39"/>
    <mergeCell ref="N38:Q38"/>
    <mergeCell ref="T40:U40"/>
    <mergeCell ref="R39:S39"/>
    <mergeCell ref="N41:Q41"/>
    <mergeCell ref="R41:S41"/>
    <mergeCell ref="T49:U49"/>
    <mergeCell ref="R48:S48"/>
    <mergeCell ref="R42:S42"/>
    <mergeCell ref="X41:Z41"/>
    <mergeCell ref="T44:U44"/>
    <mergeCell ref="X44:Z44"/>
    <mergeCell ref="N48:Q48"/>
    <mergeCell ref="R47:S47"/>
    <mergeCell ref="R54:S54"/>
    <mergeCell ref="N53:Q53"/>
    <mergeCell ref="R53:S53"/>
    <mergeCell ref="X20:AB20"/>
    <mergeCell ref="AB31:AD31"/>
    <mergeCell ref="AA47:AD47"/>
    <mergeCell ref="X42:Z42"/>
    <mergeCell ref="X48:Z48"/>
    <mergeCell ref="V49:W49"/>
    <mergeCell ref="AA54:AD54"/>
    <mergeCell ref="Z18:AD18"/>
    <mergeCell ref="W22:AB22"/>
    <mergeCell ref="V45:W45"/>
    <mergeCell ref="V46:W46"/>
    <mergeCell ref="V48:W48"/>
    <mergeCell ref="AB34:AD34"/>
    <mergeCell ref="X38:Z38"/>
    <mergeCell ref="W21:AB21"/>
    <mergeCell ref="X37:Z37"/>
    <mergeCell ref="X43:Z43"/>
    <mergeCell ref="X39:Z39"/>
    <mergeCell ref="AA45:AD45"/>
    <mergeCell ref="AA51:AD51"/>
    <mergeCell ref="V41:W41"/>
    <mergeCell ref="V42:W42"/>
    <mergeCell ref="X54:Z54"/>
    <mergeCell ref="X53:Z53"/>
    <mergeCell ref="X52:Z52"/>
    <mergeCell ref="AA41:AD41"/>
    <mergeCell ref="AA42:AD42"/>
  </mergeCells>
  <dataValidations count="13">
    <dataValidation type="list" allowBlank="1" showInputMessage="1" showErrorMessage="1" sqref="N38:N56 O38:Q39 O41:Q56">
      <formula1>rgEdRes</formula1>
    </dataValidation>
    <dataValidation type="list" showInputMessage="1" showErrorMessage="1" prompt="Choose a value from the drop-down menu." sqref="AD9">
      <formula1>"Choose,0,5"</formula1>
    </dataValidation>
    <dataValidation type="list" showInputMessage="1" showErrorMessage="1" prompt="Choose a value from the drop-down menu." sqref="V9">
      <formula1>"Choose,0,1"</formula1>
    </dataValidation>
    <dataValidation type="list" allowBlank="1" showInputMessage="1" showErrorMessage="1" prompt="Choose a value from the drop-down menu." sqref="X9">
      <formula1>"Choose,0,2"</formula1>
    </dataValidation>
    <dataValidation type="list" showInputMessage="1" showErrorMessage="1" prompt="Choose a value from the drop-down menu." sqref="Z9">
      <formula1>"Choose,0,3"</formula1>
    </dataValidation>
    <dataValidation type="list" showInputMessage="1" showErrorMessage="1" prompt="Choose a value from the drop-down menu." sqref="AB9:AC9">
      <formula1>"Choose,0,4"</formula1>
    </dataValidation>
    <dataValidation type="list" showInputMessage="1" showErrorMessage="1" prompt="Choose a value from the drop-down menu." sqref="W11:AD11">
      <formula1>"Choose, 01,02,03,04,05,06,07,08,09,10,12,13,14,15"</formula1>
    </dataValidation>
    <dataValidation type="list" showInputMessage="1" showErrorMessage="1" prompt="Choose a value from the drop-down menu." sqref="H9">
      <formula1>"Choose,Male,Female"</formula1>
    </dataValidation>
    <dataValidation type="date" operator="equal" showInputMessage="1" showErrorMessage="1" sqref="T19">
      <formula1>40724</formula1>
    </dataValidation>
    <dataValidation type="list" showInputMessage="1" showErrorMessage="1" prompt="Choose a value from the dropdown menu." errorTitle="Yes, No, N/A" error="Choose from the Drop Down Menu" sqref="G12:H12">
      <formula1>"Choose, Yes, No, Pending"</formula1>
    </dataValidation>
    <dataValidation type="list" allowBlank="1" showInputMessage="1" showErrorMessage="1" sqref="G11:H11">
      <formula1>"Choose, 01,02,03,04,05,06,07,08,09,10,12,13,14,15"</formula1>
    </dataValidation>
    <dataValidation type="list" allowBlank="1" showInputMessage="1" showErrorMessage="1" sqref="K11:O11">
      <formula1>"Choose,1,2,3,4,5,6,7,8,9,10,11,12,91,92"</formula1>
    </dataValidation>
    <dataValidation type="list" allowBlank="1" showInputMessage="1" showErrorMessage="1" sqref="P9:R9">
      <formula1>"Choose,Yes,No"</formula1>
    </dataValidation>
  </dataValidations>
  <printOptions horizontalCentered="1"/>
  <pageMargins left="0.3" right="0.3" top="0.49" bottom="0.9" header="0.28" footer="0.09"/>
  <pageSetup fitToHeight="2" horizontalDpi="200" verticalDpi="200" orientation="portrait" scale="67" r:id="rId1"/>
  <ignoredErrors>
    <ignoredError sqref="P20 AB28:AD34" unlockedFormula="1"/>
  </ignoredErrors>
</worksheet>
</file>

<file path=xl/worksheets/sheet3.xml><?xml version="1.0" encoding="utf-8"?>
<worksheet xmlns="http://schemas.openxmlformats.org/spreadsheetml/2006/main" xmlns:r="http://schemas.openxmlformats.org/officeDocument/2006/relationships">
  <dimension ref="A1:N45"/>
  <sheetViews>
    <sheetView zoomScalePageLayoutView="0" workbookViewId="0" topLeftCell="A19">
      <selection activeCell="F17" sqref="F17"/>
    </sheetView>
  </sheetViews>
  <sheetFormatPr defaultColWidth="8.8515625" defaultRowHeight="12.75"/>
  <cols>
    <col min="1" max="1" width="3.57421875" style="55" customWidth="1"/>
    <col min="2" max="2" width="34.7109375" style="55" customWidth="1"/>
    <col min="3" max="3" width="7.140625" style="55" customWidth="1"/>
    <col min="4" max="4" width="13.421875" style="59" customWidth="1"/>
    <col min="5" max="5" width="13.421875" style="60" customWidth="1"/>
    <col min="6" max="7" width="13.421875" style="61" customWidth="1"/>
    <col min="8" max="8" width="17.28125" style="62" customWidth="1"/>
    <col min="9" max="16384" width="8.8515625" style="55" customWidth="1"/>
  </cols>
  <sheetData>
    <row r="1" spans="1:14" s="18" customFormat="1" ht="15.75">
      <c r="A1" s="13" t="str">
        <f>clWBTitle</f>
        <v>Nonpublic Special Education School Budget for FY 2024</v>
      </c>
      <c r="D1" s="52"/>
      <c r="E1" s="14"/>
      <c r="F1" s="430" t="s">
        <v>713</v>
      </c>
      <c r="G1" s="14"/>
      <c r="H1" s="16" t="s">
        <v>161</v>
      </c>
      <c r="I1" s="17"/>
      <c r="J1" s="17"/>
      <c r="K1" s="17"/>
      <c r="M1" s="17"/>
      <c r="N1" s="17"/>
    </row>
    <row r="2" spans="1:7" s="22" customFormat="1" ht="15" customHeight="1">
      <c r="A2" s="13" t="str">
        <f>"School"&amp;CHAR(151)&amp;clSchoolName</f>
        <v>School—</v>
      </c>
      <c r="D2" s="13"/>
      <c r="E2" s="20"/>
      <c r="F2" s="21"/>
      <c r="G2" s="21"/>
    </row>
    <row r="3" spans="1:7" s="22" customFormat="1" ht="15" customHeight="1">
      <c r="A3" s="13" t="str">
        <f>"Program"&amp;CHAR(151)&amp;clProgramName</f>
        <v>Program—</v>
      </c>
      <c r="D3" s="13"/>
      <c r="E3" s="24"/>
      <c r="F3" s="25"/>
      <c r="G3" s="25"/>
    </row>
    <row r="4" spans="1:9" s="29" customFormat="1" ht="32.25" customHeight="1" thickBot="1">
      <c r="A4" s="27" t="s">
        <v>12</v>
      </c>
      <c r="D4" s="27"/>
      <c r="E4" s="28"/>
      <c r="F4" s="28"/>
      <c r="G4" s="28"/>
      <c r="H4" s="28"/>
      <c r="I4" s="28"/>
    </row>
    <row r="5" spans="1:8" ht="19.5" customHeight="1" thickBot="1">
      <c r="A5" s="744"/>
      <c r="B5" s="745"/>
      <c r="C5" s="252"/>
      <c r="D5" s="254" t="s">
        <v>727</v>
      </c>
      <c r="E5" s="53" t="s">
        <v>13</v>
      </c>
      <c r="F5" s="53" t="s">
        <v>729</v>
      </c>
      <c r="G5" s="63" t="s">
        <v>155</v>
      </c>
      <c r="H5" s="54" t="s">
        <v>156</v>
      </c>
    </row>
    <row r="6" spans="1:8" ht="19.5" customHeight="1">
      <c r="A6" s="436" t="s">
        <v>731</v>
      </c>
      <c r="B6" s="72"/>
      <c r="C6" s="251"/>
      <c r="D6" s="70"/>
      <c r="E6" s="71"/>
      <c r="F6" s="71"/>
      <c r="G6" s="71"/>
      <c r="H6" s="69"/>
    </row>
    <row r="7" spans="1:8" ht="19.5" customHeight="1">
      <c r="A7" s="746" t="s">
        <v>9</v>
      </c>
      <c r="B7" s="747"/>
      <c r="C7" s="748"/>
      <c r="D7" s="446">
        <f>IF(clTotDaysEd*clStuCountEd=0,"",clTotDaysEd*clStuCountEd)</f>
      </c>
      <c r="E7" s="71" t="e">
        <f>ROUND((IF(H7=0," ",H7/D7)),2)</f>
        <v>#VALUE!</v>
      </c>
      <c r="F7" s="230"/>
      <c r="G7" s="230"/>
      <c r="H7" s="56">
        <f>(H45)-SUM(H8:H44)</f>
        <v>0</v>
      </c>
    </row>
    <row r="8" spans="1:8" ht="19.5" customHeight="1">
      <c r="A8" s="749" t="s">
        <v>10</v>
      </c>
      <c r="B8" s="750"/>
      <c r="C8" s="751"/>
      <c r="D8" s="446">
        <f>IF(clTotDaysRes*clStuCountRes=0,"",clTotDaysRes*clStuCountRes)</f>
      </c>
      <c r="E8" s="231"/>
      <c r="F8" s="230"/>
      <c r="G8" s="230"/>
      <c r="H8" s="56">
        <f>IF(AND(D8&lt;&gt;"",E8&gt;0),E8*D8,0)</f>
        <v>0</v>
      </c>
    </row>
    <row r="9" spans="1:10" ht="19.5" customHeight="1" thickBot="1">
      <c r="A9" s="746" t="s">
        <v>11</v>
      </c>
      <c r="B9" s="747"/>
      <c r="C9" s="748"/>
      <c r="D9" s="446">
        <f>IF(clTotDaysESY*clStuCountESY=0,"",clTotDaysESY*clStuCountESY)</f>
      </c>
      <c r="E9" s="231"/>
      <c r="F9" s="230"/>
      <c r="G9" s="230"/>
      <c r="H9" s="56">
        <f>IF(AND(D9&lt;&gt;"",E9&gt;0),E9*D9,0)</f>
        <v>0</v>
      </c>
      <c r="J9" s="59"/>
    </row>
    <row r="10" spans="1:10" ht="19.5" customHeight="1" thickBot="1">
      <c r="A10" s="758" t="s">
        <v>724</v>
      </c>
      <c r="B10" s="759"/>
      <c r="C10" s="252" t="s">
        <v>423</v>
      </c>
      <c r="D10" s="254" t="s">
        <v>725</v>
      </c>
      <c r="E10" s="53"/>
      <c r="F10" s="53" t="s">
        <v>729</v>
      </c>
      <c r="G10" s="63"/>
      <c r="H10" s="54"/>
      <c r="J10" s="60"/>
    </row>
    <row r="11" spans="1:8" ht="19.5" customHeight="1">
      <c r="A11" s="57" t="s">
        <v>281</v>
      </c>
      <c r="B11" s="68" t="s">
        <v>654</v>
      </c>
      <c r="C11" s="253" t="s">
        <v>420</v>
      </c>
      <c r="D11" s="138"/>
      <c r="E11" s="230"/>
      <c r="F11" s="231"/>
      <c r="G11" s="230"/>
      <c r="H11" s="56">
        <f>IF(E11&gt;0,E11*D11,IF(F11&gt;0,F11*D11,G11*D11))</f>
        <v>0</v>
      </c>
    </row>
    <row r="12" spans="1:8" ht="19.5" customHeight="1">
      <c r="A12" s="57" t="s">
        <v>282</v>
      </c>
      <c r="B12" s="68" t="s">
        <v>157</v>
      </c>
      <c r="C12" s="253" t="s">
        <v>420</v>
      </c>
      <c r="D12" s="434"/>
      <c r="E12" s="230"/>
      <c r="F12" s="231"/>
      <c r="G12" s="230"/>
      <c r="H12" s="56">
        <f aca="true" t="shared" si="0" ref="H12:H30">IF(E12&gt;0,E12*D12,IF(F12&gt;0,F12*D12,G12*D12))</f>
        <v>0</v>
      </c>
    </row>
    <row r="13" spans="1:8" ht="19.5" customHeight="1">
      <c r="A13" s="57" t="s">
        <v>283</v>
      </c>
      <c r="B13" s="68" t="s">
        <v>456</v>
      </c>
      <c r="C13" s="253" t="s">
        <v>420</v>
      </c>
      <c r="D13" s="138"/>
      <c r="E13" s="230"/>
      <c r="F13" s="231"/>
      <c r="G13" s="230"/>
      <c r="H13" s="56">
        <f t="shared" si="0"/>
        <v>0</v>
      </c>
    </row>
    <row r="14" spans="1:8" ht="19.5" customHeight="1">
      <c r="A14" s="57" t="s">
        <v>284</v>
      </c>
      <c r="B14" s="68" t="s">
        <v>33</v>
      </c>
      <c r="C14" s="253" t="s">
        <v>420</v>
      </c>
      <c r="D14" s="138"/>
      <c r="E14" s="230"/>
      <c r="F14" s="231"/>
      <c r="G14" s="230"/>
      <c r="H14" s="56">
        <f t="shared" si="0"/>
        <v>0</v>
      </c>
    </row>
    <row r="15" spans="1:8" ht="19.5" customHeight="1">
      <c r="A15" s="57" t="s">
        <v>285</v>
      </c>
      <c r="B15" s="68" t="s">
        <v>34</v>
      </c>
      <c r="C15" s="253" t="s">
        <v>420</v>
      </c>
      <c r="D15" s="138"/>
      <c r="E15" s="230"/>
      <c r="F15" s="231"/>
      <c r="G15" s="230"/>
      <c r="H15" s="56">
        <f t="shared" si="0"/>
        <v>0</v>
      </c>
    </row>
    <row r="16" spans="1:8" ht="19.5" customHeight="1">
      <c r="A16" s="57" t="s">
        <v>286</v>
      </c>
      <c r="B16" s="68" t="s">
        <v>35</v>
      </c>
      <c r="C16" s="253" t="s">
        <v>420</v>
      </c>
      <c r="D16" s="138"/>
      <c r="E16" s="230"/>
      <c r="F16" s="231"/>
      <c r="G16" s="230"/>
      <c r="H16" s="56">
        <f t="shared" si="0"/>
        <v>0</v>
      </c>
    </row>
    <row r="17" spans="1:8" ht="19.5" customHeight="1">
      <c r="A17" s="57" t="s">
        <v>287</v>
      </c>
      <c r="B17" s="68" t="s">
        <v>36</v>
      </c>
      <c r="C17" s="253" t="s">
        <v>420</v>
      </c>
      <c r="D17" s="138"/>
      <c r="E17" s="230"/>
      <c r="F17" s="231"/>
      <c r="G17" s="230"/>
      <c r="H17" s="56">
        <f t="shared" si="0"/>
        <v>0</v>
      </c>
    </row>
    <row r="18" spans="1:8" ht="19.5" customHeight="1">
      <c r="A18" s="57" t="s">
        <v>288</v>
      </c>
      <c r="B18" s="68" t="s">
        <v>37</v>
      </c>
      <c r="C18" s="253" t="s">
        <v>420</v>
      </c>
      <c r="D18" s="138"/>
      <c r="E18" s="230"/>
      <c r="F18" s="231"/>
      <c r="G18" s="230"/>
      <c r="H18" s="56">
        <f t="shared" si="0"/>
        <v>0</v>
      </c>
    </row>
    <row r="19" spans="1:8" ht="19.5" customHeight="1">
      <c r="A19" s="57" t="s">
        <v>20</v>
      </c>
      <c r="B19" s="68" t="s">
        <v>38</v>
      </c>
      <c r="C19" s="253" t="s">
        <v>420</v>
      </c>
      <c r="D19" s="138"/>
      <c r="E19" s="230"/>
      <c r="F19" s="231"/>
      <c r="G19" s="230"/>
      <c r="H19" s="56">
        <f t="shared" si="0"/>
        <v>0</v>
      </c>
    </row>
    <row r="20" spans="1:8" ht="19.5" customHeight="1">
      <c r="A20" s="57" t="s">
        <v>289</v>
      </c>
      <c r="B20" s="68" t="s">
        <v>39</v>
      </c>
      <c r="C20" s="253" t="s">
        <v>420</v>
      </c>
      <c r="D20" s="138"/>
      <c r="E20" s="230"/>
      <c r="F20" s="231"/>
      <c r="G20" s="230"/>
      <c r="H20" s="56">
        <f t="shared" si="0"/>
        <v>0</v>
      </c>
    </row>
    <row r="21" spans="1:8" ht="19.5" customHeight="1">
      <c r="A21" s="57" t="s">
        <v>290</v>
      </c>
      <c r="B21" s="68" t="s">
        <v>40</v>
      </c>
      <c r="C21" s="253" t="s">
        <v>420</v>
      </c>
      <c r="D21" s="138"/>
      <c r="E21" s="230"/>
      <c r="F21" s="231"/>
      <c r="G21" s="230"/>
      <c r="H21" s="56">
        <f t="shared" si="0"/>
        <v>0</v>
      </c>
    </row>
    <row r="22" spans="1:8" ht="19.5" customHeight="1">
      <c r="A22" s="57" t="s">
        <v>291</v>
      </c>
      <c r="B22" s="68" t="s">
        <v>41</v>
      </c>
      <c r="C22" s="253" t="s">
        <v>420</v>
      </c>
      <c r="D22" s="138"/>
      <c r="E22" s="230"/>
      <c r="F22" s="231"/>
      <c r="G22" s="230"/>
      <c r="H22" s="56">
        <f t="shared" si="0"/>
        <v>0</v>
      </c>
    </row>
    <row r="23" spans="1:8" ht="19.5" customHeight="1">
      <c r="A23" s="57" t="s">
        <v>292</v>
      </c>
      <c r="B23" s="68" t="s">
        <v>42</v>
      </c>
      <c r="C23" s="253" t="s">
        <v>420</v>
      </c>
      <c r="D23" s="138"/>
      <c r="E23" s="230"/>
      <c r="F23" s="231"/>
      <c r="G23" s="230"/>
      <c r="H23" s="56">
        <f t="shared" si="0"/>
        <v>0</v>
      </c>
    </row>
    <row r="24" spans="1:8" ht="19.5" customHeight="1">
      <c r="A24" s="57" t="s">
        <v>293</v>
      </c>
      <c r="B24" s="68" t="s">
        <v>43</v>
      </c>
      <c r="C24" s="253" t="s">
        <v>420</v>
      </c>
      <c r="D24" s="138"/>
      <c r="E24" s="230"/>
      <c r="F24" s="231"/>
      <c r="G24" s="230"/>
      <c r="H24" s="56">
        <f t="shared" si="0"/>
        <v>0</v>
      </c>
    </row>
    <row r="25" spans="1:8" ht="19.5" customHeight="1">
      <c r="A25" s="435" t="s">
        <v>730</v>
      </c>
      <c r="B25" s="68"/>
      <c r="C25" s="68"/>
      <c r="D25" s="70"/>
      <c r="E25" s="71"/>
      <c r="F25" s="71"/>
      <c r="G25" s="71"/>
      <c r="H25" s="69"/>
    </row>
    <row r="26" spans="1:8" ht="19.5" customHeight="1">
      <c r="A26" s="57" t="s">
        <v>281</v>
      </c>
      <c r="B26" s="68" t="s">
        <v>158</v>
      </c>
      <c r="C26" s="253" t="s">
        <v>420</v>
      </c>
      <c r="D26" s="138"/>
      <c r="E26" s="230"/>
      <c r="F26" s="231"/>
      <c r="G26" s="230"/>
      <c r="H26" s="56">
        <f t="shared" si="0"/>
        <v>0</v>
      </c>
    </row>
    <row r="27" spans="1:8" ht="19.5" customHeight="1">
      <c r="A27" s="57" t="s">
        <v>282</v>
      </c>
      <c r="B27" s="68" t="s">
        <v>159</v>
      </c>
      <c r="C27" s="253" t="s">
        <v>421</v>
      </c>
      <c r="D27" s="138"/>
      <c r="E27" s="230"/>
      <c r="F27" s="231"/>
      <c r="G27" s="230"/>
      <c r="H27" s="56">
        <f t="shared" si="0"/>
        <v>0</v>
      </c>
    </row>
    <row r="28" spans="1:8" ht="19.5" customHeight="1">
      <c r="A28" s="57" t="s">
        <v>283</v>
      </c>
      <c r="B28" s="68" t="s">
        <v>160</v>
      </c>
      <c r="C28" s="253" t="s">
        <v>420</v>
      </c>
      <c r="D28" s="138"/>
      <c r="E28" s="230"/>
      <c r="F28" s="231"/>
      <c r="G28" s="230"/>
      <c r="H28" s="56">
        <f t="shared" si="0"/>
        <v>0</v>
      </c>
    </row>
    <row r="29" spans="1:8" ht="19.5" customHeight="1">
      <c r="A29" s="57" t="s">
        <v>284</v>
      </c>
      <c r="B29" s="68" t="s">
        <v>246</v>
      </c>
      <c r="C29" s="253" t="s">
        <v>420</v>
      </c>
      <c r="D29" s="138"/>
      <c r="E29" s="230"/>
      <c r="F29" s="231"/>
      <c r="G29" s="230"/>
      <c r="H29" s="56">
        <f t="shared" si="0"/>
        <v>0</v>
      </c>
    </row>
    <row r="30" spans="1:8" ht="19.5" customHeight="1">
      <c r="A30" s="368" t="s">
        <v>285</v>
      </c>
      <c r="B30" s="391"/>
      <c r="C30" s="253"/>
      <c r="D30" s="138"/>
      <c r="E30" s="230"/>
      <c r="F30" s="231"/>
      <c r="G30" s="230"/>
      <c r="H30" s="56">
        <f t="shared" si="0"/>
        <v>0</v>
      </c>
    </row>
    <row r="31" spans="1:8" ht="19.5" customHeight="1">
      <c r="A31" s="368" t="s">
        <v>286</v>
      </c>
      <c r="B31" s="391"/>
      <c r="C31" s="253"/>
      <c r="D31" s="138"/>
      <c r="E31" s="230"/>
      <c r="F31" s="231"/>
      <c r="G31" s="230"/>
      <c r="H31" s="56">
        <f aca="true" t="shared" si="1" ref="H31:H36">IF(E31&gt;0,E31*D31,IF(F31&gt;0,F31*D31,G31*D31))</f>
        <v>0</v>
      </c>
    </row>
    <row r="32" spans="1:8" ht="19.5" customHeight="1">
      <c r="A32" s="368" t="s">
        <v>287</v>
      </c>
      <c r="B32" s="391"/>
      <c r="C32" s="253"/>
      <c r="D32" s="138"/>
      <c r="E32" s="230"/>
      <c r="F32" s="231"/>
      <c r="G32" s="230"/>
      <c r="H32" s="56">
        <f t="shared" si="1"/>
        <v>0</v>
      </c>
    </row>
    <row r="33" spans="1:8" ht="19.5" customHeight="1">
      <c r="A33" s="368" t="s">
        <v>288</v>
      </c>
      <c r="B33" s="391"/>
      <c r="C33" s="253"/>
      <c r="D33" s="138"/>
      <c r="E33" s="230"/>
      <c r="F33" s="231"/>
      <c r="G33" s="230"/>
      <c r="H33" s="56">
        <f t="shared" si="1"/>
        <v>0</v>
      </c>
    </row>
    <row r="34" spans="1:8" ht="19.5" customHeight="1">
      <c r="A34" s="368" t="s">
        <v>20</v>
      </c>
      <c r="B34" s="391"/>
      <c r="C34" s="253"/>
      <c r="D34" s="138"/>
      <c r="E34" s="230"/>
      <c r="F34" s="231"/>
      <c r="G34" s="230"/>
      <c r="H34" s="56">
        <f t="shared" si="1"/>
        <v>0</v>
      </c>
    </row>
    <row r="35" spans="1:8" ht="19.5" customHeight="1">
      <c r="A35" s="368" t="s">
        <v>289</v>
      </c>
      <c r="B35" s="391"/>
      <c r="C35" s="253"/>
      <c r="D35" s="138"/>
      <c r="E35" s="230"/>
      <c r="F35" s="231"/>
      <c r="G35" s="230"/>
      <c r="H35" s="56">
        <f t="shared" si="1"/>
        <v>0</v>
      </c>
    </row>
    <row r="36" spans="1:8" ht="19.5" customHeight="1" thickBot="1">
      <c r="A36" s="368" t="s">
        <v>290</v>
      </c>
      <c r="B36" s="391"/>
      <c r="C36" s="253"/>
      <c r="D36" s="138"/>
      <c r="E36" s="230"/>
      <c r="F36" s="231"/>
      <c r="G36" s="230"/>
      <c r="H36" s="56">
        <f t="shared" si="1"/>
        <v>0</v>
      </c>
    </row>
    <row r="37" spans="1:8" ht="19.5" customHeight="1" thickBot="1">
      <c r="A37" s="744"/>
      <c r="B37" s="745"/>
      <c r="C37" s="441"/>
      <c r="D37" s="437"/>
      <c r="E37" s="439"/>
      <c r="F37" s="439"/>
      <c r="G37" s="440" t="s">
        <v>728</v>
      </c>
      <c r="H37" s="438"/>
    </row>
    <row r="38" spans="1:8" ht="19.5" customHeight="1">
      <c r="A38" s="753" t="s">
        <v>726</v>
      </c>
      <c r="B38" s="756"/>
      <c r="C38" s="757"/>
      <c r="D38" s="172"/>
      <c r="E38" s="67"/>
      <c r="F38" s="67"/>
      <c r="G38" s="259"/>
      <c r="H38" s="56">
        <f>IF(G38&lt;&gt;"",G38,0)</f>
        <v>0</v>
      </c>
    </row>
    <row r="39" spans="1:8" ht="19.5" customHeight="1">
      <c r="A39" s="753" t="s">
        <v>732</v>
      </c>
      <c r="B39" s="754"/>
      <c r="C39" s="754"/>
      <c r="D39" s="754"/>
      <c r="E39" s="754"/>
      <c r="F39" s="754"/>
      <c r="G39" s="754"/>
      <c r="H39" s="755"/>
    </row>
    <row r="40" spans="1:8" ht="19.5" customHeight="1">
      <c r="A40" s="57" t="s">
        <v>139</v>
      </c>
      <c r="B40" s="741" t="s">
        <v>834</v>
      </c>
      <c r="C40" s="752"/>
      <c r="D40" s="172"/>
      <c r="E40" s="67"/>
      <c r="F40" s="67"/>
      <c r="G40" s="229"/>
      <c r="H40" s="139">
        <f>IF(G40&lt;&gt;"",G40,0)</f>
        <v>0</v>
      </c>
    </row>
    <row r="41" spans="1:8" ht="19.5" customHeight="1">
      <c r="A41" s="57" t="s">
        <v>140</v>
      </c>
      <c r="B41" s="640"/>
      <c r="C41" s="752"/>
      <c r="D41" s="172"/>
      <c r="E41" s="67"/>
      <c r="F41" s="67"/>
      <c r="G41" s="229"/>
      <c r="H41" s="139">
        <f>IF(G41&lt;&gt;"",G41,0)</f>
        <v>0</v>
      </c>
    </row>
    <row r="42" spans="1:8" ht="19.5" customHeight="1">
      <c r="A42" s="57" t="s">
        <v>141</v>
      </c>
      <c r="B42" s="640"/>
      <c r="C42" s="752"/>
      <c r="D42" s="172"/>
      <c r="E42" s="67"/>
      <c r="F42" s="67"/>
      <c r="G42" s="229"/>
      <c r="H42" s="139">
        <f>IF(G42&lt;&gt;"",G42,0)</f>
        <v>0</v>
      </c>
    </row>
    <row r="43" spans="1:8" ht="19.5" customHeight="1">
      <c r="A43" s="57" t="s">
        <v>142</v>
      </c>
      <c r="B43" s="640"/>
      <c r="C43" s="752"/>
      <c r="D43" s="172"/>
      <c r="E43" s="67"/>
      <c r="F43" s="67"/>
      <c r="G43" s="229"/>
      <c r="H43" s="139">
        <f>IF(G43&lt;&gt;"",G43,0)</f>
        <v>0</v>
      </c>
    </row>
    <row r="44" spans="1:8" ht="19.5" customHeight="1" thickBot="1">
      <c r="A44" s="57" t="s">
        <v>143</v>
      </c>
      <c r="B44" s="640"/>
      <c r="C44" s="752"/>
      <c r="D44" s="172"/>
      <c r="E44" s="67"/>
      <c r="F44" s="67"/>
      <c r="G44" s="229"/>
      <c r="H44" s="139">
        <f>IF(G44&lt;&gt;"",G44,0)</f>
        <v>0</v>
      </c>
    </row>
    <row r="45" spans="1:8" ht="19.5" customHeight="1" thickBot="1">
      <c r="A45" s="760" t="s">
        <v>156</v>
      </c>
      <c r="B45" s="761"/>
      <c r="C45" s="762"/>
      <c r="D45" s="64"/>
      <c r="E45" s="65"/>
      <c r="F45" s="65"/>
      <c r="G45" s="66"/>
      <c r="H45" s="58">
        <f>'Form 2A'!D23</f>
        <v>0</v>
      </c>
    </row>
  </sheetData>
  <sheetProtection password="860F" sheet="1" selectLockedCells="1"/>
  <mergeCells count="14">
    <mergeCell ref="A45:C45"/>
    <mergeCell ref="B40:C40"/>
    <mergeCell ref="B41:C41"/>
    <mergeCell ref="B42:C42"/>
    <mergeCell ref="B43:C43"/>
    <mergeCell ref="A5:B5"/>
    <mergeCell ref="A7:C7"/>
    <mergeCell ref="A8:C8"/>
    <mergeCell ref="A9:C9"/>
    <mergeCell ref="B44:C44"/>
    <mergeCell ref="A39:H39"/>
    <mergeCell ref="A37:B37"/>
    <mergeCell ref="A38:C38"/>
    <mergeCell ref="A10:B10"/>
  </mergeCells>
  <dataValidations count="8">
    <dataValidation type="whole" allowBlank="1" showErrorMessage="1" errorTitle="Invalid Decimal Value" error="Please enter daily, hourly, or fixed costs as whole dollar amounts only." sqref="H38 G26:G29 E26:E29 G31:G36 E11:E24 G11:G24 E31:E36 E40:H44">
      <formula1>0</formula1>
      <formula2>10000000</formula2>
    </dataValidation>
    <dataValidation type="list" allowBlank="1" showInputMessage="1" showErrorMessage="1" sqref="C26:C29 C11:C24 C31:C36">
      <formula1>rgEdRes</formula1>
    </dataValidation>
    <dataValidation type="list" showInputMessage="1" showErrorMessage="1" sqref="B11">
      <formula1>" Audiology"</formula1>
    </dataValidation>
    <dataValidation type="custom" allowBlank="1" showInputMessage="1" showErrorMessage="1" sqref="D38 D26:D36 D11 D13:D24">
      <formula1>IF(ISNUMBER(FIND(".",D38)),LEN(D38)-FIND(".",D38)&lt;=2,TRUE)</formula1>
    </dataValidation>
    <dataValidation type="custom" allowBlank="1" showInputMessage="1" showErrorMessage="1" sqref="E9">
      <formula1>IF(ISNUMBER(FIND(".",F12)),LEN(F12)-FIND(".",F12)&lt;=2,TRUE)</formula1>
    </dataValidation>
    <dataValidation type="custom" allowBlank="1" showInputMessage="1" showErrorMessage="1" sqref="E8">
      <formula1>IF(ISNUMBER(FIND(".",F8)),LEN(F8)-FIND(".",F8)&lt;=2,TRUE)</formula1>
    </dataValidation>
    <dataValidation type="custom" allowBlank="1" showInputMessage="1" showErrorMessage="1" sqref="D12">
      <formula1>IF(ISNUMBER(FIND(".",D12)),LEN(D12)-FIND(".",D12)&lt;=2,TRUE)</formula1>
    </dataValidation>
    <dataValidation type="custom" allowBlank="1" showInputMessage="1" showErrorMessage="1" sqref="G38">
      <formula1>IF(ISNUMBER(FIND(".",G39)),LEN(G39)-FIND(".",G39)&lt;=2,TRUE)</formula1>
    </dataValidation>
  </dataValidations>
  <printOptions horizontalCentered="1"/>
  <pageMargins left="0" right="0" top="0" bottom="0" header="0" footer="0"/>
  <pageSetup horizontalDpi="600" verticalDpi="600" orientation="portrait" scale="85" r:id="rId1"/>
  <headerFooter alignWithMargins="0">
    <oddFooter>&amp;LNSES Budget Template - Approved&amp;C01/2023&amp;R1B</oddFooter>
  </headerFooter>
  <ignoredErrors>
    <ignoredError sqref="E7" evalError="1"/>
  </ignoredErrors>
</worksheet>
</file>

<file path=xl/worksheets/sheet30.xml><?xml version="1.0" encoding="utf-8"?>
<worksheet xmlns="http://schemas.openxmlformats.org/spreadsheetml/2006/main" xmlns:r="http://schemas.openxmlformats.org/officeDocument/2006/relationships">
  <sheetPr>
    <pageSetUpPr fitToPage="1"/>
  </sheetPr>
  <dimension ref="A1:AB41"/>
  <sheetViews>
    <sheetView zoomScalePageLayoutView="0" workbookViewId="0" topLeftCell="A1">
      <selection activeCell="E6" sqref="E6"/>
    </sheetView>
  </sheetViews>
  <sheetFormatPr defaultColWidth="9.140625" defaultRowHeight="12.75"/>
  <cols>
    <col min="1" max="1" width="17.140625" style="177" customWidth="1"/>
    <col min="2" max="2" width="11.8515625" style="177" customWidth="1"/>
    <col min="3" max="3" width="4.8515625" style="177" customWidth="1"/>
    <col min="4" max="4" width="6.8515625" style="177" customWidth="1"/>
    <col min="5" max="5" width="11.8515625" style="177" customWidth="1"/>
    <col min="6" max="6" width="4.8515625" style="177" customWidth="1"/>
    <col min="7" max="7" width="6.8515625" style="177" customWidth="1"/>
    <col min="8" max="8" width="17.140625" style="177" customWidth="1"/>
    <col min="9" max="9" width="11.8515625" style="177" customWidth="1"/>
    <col min="10" max="10" width="4.8515625" style="177" customWidth="1"/>
    <col min="11" max="11" width="6.8515625" style="177" customWidth="1"/>
    <col min="12" max="16384" width="9.140625" style="177" customWidth="1"/>
  </cols>
  <sheetData>
    <row r="1" spans="1:28" s="18" customFormat="1" ht="15.75">
      <c r="A1" s="13" t="str">
        <f>"FY "&amp;clFiscalYear&amp;" - Program Calendar Data"</f>
        <v>FY 2024 - Program Calendar Data</v>
      </c>
      <c r="C1" s="52"/>
      <c r="D1" s="14"/>
      <c r="E1" s="14"/>
      <c r="F1" s="431" t="s">
        <v>713</v>
      </c>
      <c r="G1" s="17"/>
      <c r="H1" s="17"/>
      <c r="J1" s="221"/>
      <c r="K1" s="93" t="s">
        <v>414</v>
      </c>
      <c r="AB1" s="13" t="s">
        <v>178</v>
      </c>
    </row>
    <row r="2" spans="1:5" s="29" customFormat="1" ht="32.25" customHeight="1" thickBot="1">
      <c r="A2" s="26" t="s">
        <v>250</v>
      </c>
      <c r="B2" s="27"/>
      <c r="C2" s="28"/>
      <c r="D2" s="28"/>
      <c r="E2" s="28"/>
    </row>
    <row r="3" spans="1:11" ht="16.5" thickBot="1">
      <c r="A3" s="207"/>
      <c r="B3" s="876" t="s">
        <v>77</v>
      </c>
      <c r="C3" s="877"/>
      <c r="D3" s="875"/>
      <c r="E3" s="873" t="s">
        <v>78</v>
      </c>
      <c r="F3" s="874"/>
      <c r="G3" s="875"/>
      <c r="I3" s="873" t="s">
        <v>245</v>
      </c>
      <c r="J3" s="874"/>
      <c r="K3" s="875"/>
    </row>
    <row r="4" spans="1:11" ht="16.5" customHeight="1">
      <c r="A4" s="205" t="s">
        <v>183</v>
      </c>
      <c r="B4" s="246"/>
      <c r="C4" s="247"/>
      <c r="D4" s="208">
        <f>IF(OR(B4="",C4=""),"",IF(OR(B4="July",B4="August",B4="September",B4="October",B4="November",B4="December"),clFiscalYear-1,clFiscalYear))</f>
      </c>
      <c r="E4" s="240"/>
      <c r="F4" s="241"/>
      <c r="G4" s="208">
        <f>IF(OR(E4="",F4=""),"",IF(OR(E4="July",E4="August",E4="September",E4="October",E4="November",E4="December"),clFiscalYear-1,clFiscalYear))</f>
      </c>
      <c r="H4" s="222" t="str">
        <f>"First day ("&amp;clFiscalYear-1&amp;")"</f>
        <v>First day (2023)</v>
      </c>
      <c r="I4" s="246"/>
      <c r="J4" s="247"/>
      <c r="K4" s="553">
        <f>IF(OR(I4="",J4=""),"",IF(OR(I4="July",I4="August"),clFiscalYear-1,clFiscalYear))</f>
      </c>
    </row>
    <row r="5" spans="1:11" ht="16.5" customHeight="1">
      <c r="A5" s="205" t="s">
        <v>182</v>
      </c>
      <c r="B5" s="240"/>
      <c r="C5" s="241"/>
      <c r="D5" s="208">
        <f>IF(OR(B5="",C5=""),"",IF(OR(B5="July",B5="August",B5="September",B5="October",B5="November",B5="December"),clFiscalYear-1,clFiscalYear))</f>
      </c>
      <c r="E5" s="240"/>
      <c r="F5" s="241"/>
      <c r="G5" s="208">
        <f>IF(OR(E5="",F5=""),"",IF(OR(E5="July",E5="August",E5="September",E5="October",E5="November",E5="December"),clFiscalYear-1,clFiscalYear))</f>
      </c>
      <c r="H5" s="205" t="str">
        <f>"Last day ("&amp;clFiscalYear-1&amp;")"</f>
        <v>Last day (2023)</v>
      </c>
      <c r="I5" s="240"/>
      <c r="J5" s="241"/>
      <c r="K5" s="208">
        <f>IF(OR(I5="",J5=""),"",IF(OR(I5="July",I5="August",I5="September",I5="October",I5="November",I5="December"),clFiscalYear-1,clFiscalYear))</f>
      </c>
    </row>
    <row r="6" spans="1:11" ht="16.5" customHeight="1">
      <c r="A6" s="205" t="s">
        <v>216</v>
      </c>
      <c r="B6" s="555" t="s">
        <v>69</v>
      </c>
      <c r="C6" s="244"/>
      <c r="D6" s="208"/>
      <c r="E6" s="242"/>
      <c r="F6" s="244"/>
      <c r="G6" s="208"/>
      <c r="H6" s="878"/>
      <c r="I6" s="879"/>
      <c r="J6" s="880"/>
      <c r="K6" s="866"/>
    </row>
    <row r="7" spans="1:11" ht="16.5" customHeight="1">
      <c r="A7" s="205" t="s">
        <v>413</v>
      </c>
      <c r="B7" s="243"/>
      <c r="C7" s="245"/>
      <c r="D7" s="208"/>
      <c r="E7" s="243"/>
      <c r="F7" s="245"/>
      <c r="G7" s="208"/>
      <c r="H7" s="878"/>
      <c r="I7" s="881"/>
      <c r="J7" s="882"/>
      <c r="K7" s="866"/>
    </row>
    <row r="8" spans="1:11" ht="16.5" customHeight="1">
      <c r="A8" s="205" t="s">
        <v>262</v>
      </c>
      <c r="B8" s="240"/>
      <c r="C8" s="241"/>
      <c r="D8" s="208">
        <f aca="true" t="shared" si="0" ref="D8:D27">IF(OR(B8="",C8=""),"",IF(OR(B8="July",B8="August",B8="September",B8="October",B8="November",B8="December"),clFiscalYear-1,clFiscalYear))</f>
      </c>
      <c r="E8" s="240"/>
      <c r="F8" s="241"/>
      <c r="G8" s="208">
        <f aca="true" t="shared" si="1" ref="G8:G27">IF(OR(E8="",F8=""),"",IF(OR(E8="July",E8="August",E8="September",E8="October",E8="November",E8="December"),clFiscalYear-1,clFiscalYear))</f>
      </c>
      <c r="H8" s="205" t="s">
        <v>216</v>
      </c>
      <c r="I8" s="552" t="s">
        <v>69</v>
      </c>
      <c r="J8" s="244"/>
      <c r="K8" s="208">
        <f>IF(OR(I7="",J7=""),"",IF(OR(I7="July",I7="August",I7="September",I7="October",I7="November",I7="December"),clFiscalYear-1,clFiscalYear))</f>
      </c>
    </row>
    <row r="9" spans="1:11" ht="16.5" customHeight="1">
      <c r="A9" s="205" t="s">
        <v>263</v>
      </c>
      <c r="B9" s="240"/>
      <c r="C9" s="241"/>
      <c r="D9" s="208">
        <f t="shared" si="0"/>
      </c>
      <c r="E9" s="240"/>
      <c r="F9" s="241"/>
      <c r="G9" s="208">
        <f t="shared" si="1"/>
      </c>
      <c r="H9" s="205" t="s">
        <v>413</v>
      </c>
      <c r="I9" s="243"/>
      <c r="J9" s="245"/>
      <c r="K9" s="208"/>
    </row>
    <row r="10" spans="1:11" ht="16.5" customHeight="1">
      <c r="A10" s="205" t="s">
        <v>264</v>
      </c>
      <c r="B10" s="240"/>
      <c r="C10" s="241"/>
      <c r="D10" s="208">
        <f t="shared" si="0"/>
      </c>
      <c r="E10" s="240"/>
      <c r="F10" s="241"/>
      <c r="G10" s="208">
        <f t="shared" si="1"/>
      </c>
      <c r="H10" s="205" t="s">
        <v>262</v>
      </c>
      <c r="I10" s="240"/>
      <c r="J10" s="241"/>
      <c r="K10" s="208">
        <f aca="true" t="shared" si="2" ref="K10:K29">IF(OR(I10="",J10=""),"",IF(OR(I10="July",I10="August",I10="September",I10="October",I10="November",I10="December"),clFiscalYear-1,clFiscalYear))</f>
      </c>
    </row>
    <row r="11" spans="1:11" ht="16.5" customHeight="1">
      <c r="A11" s="205" t="s">
        <v>265</v>
      </c>
      <c r="B11" s="240"/>
      <c r="C11" s="241"/>
      <c r="D11" s="208">
        <f t="shared" si="0"/>
      </c>
      <c r="E11" s="240"/>
      <c r="F11" s="241"/>
      <c r="G11" s="208">
        <f t="shared" si="1"/>
      </c>
      <c r="H11" s="205" t="s">
        <v>263</v>
      </c>
      <c r="I11" s="240"/>
      <c r="J11" s="241"/>
      <c r="K11" s="208">
        <f t="shared" si="2"/>
      </c>
    </row>
    <row r="12" spans="1:11" ht="16.5" customHeight="1">
      <c r="A12" s="205" t="s">
        <v>266</v>
      </c>
      <c r="B12" s="240"/>
      <c r="C12" s="241"/>
      <c r="D12" s="208">
        <f t="shared" si="0"/>
      </c>
      <c r="E12" s="240"/>
      <c r="F12" s="241"/>
      <c r="G12" s="208">
        <f t="shared" si="1"/>
      </c>
      <c r="H12" s="205" t="s">
        <v>264</v>
      </c>
      <c r="I12" s="240"/>
      <c r="J12" s="241"/>
      <c r="K12" s="208">
        <f t="shared" si="2"/>
      </c>
    </row>
    <row r="13" spans="1:11" ht="16.5" customHeight="1">
      <c r="A13" s="205" t="s">
        <v>268</v>
      </c>
      <c r="B13" s="240"/>
      <c r="C13" s="241"/>
      <c r="D13" s="208">
        <f t="shared" si="0"/>
      </c>
      <c r="E13" s="240"/>
      <c r="F13" s="241"/>
      <c r="G13" s="208">
        <f t="shared" si="1"/>
      </c>
      <c r="H13" s="205" t="s">
        <v>265</v>
      </c>
      <c r="I13" s="240"/>
      <c r="J13" s="241"/>
      <c r="K13" s="208">
        <f t="shared" si="2"/>
      </c>
    </row>
    <row r="14" spans="1:11" ht="16.5" customHeight="1">
      <c r="A14" s="205" t="s">
        <v>269</v>
      </c>
      <c r="B14" s="240"/>
      <c r="C14" s="241"/>
      <c r="D14" s="208">
        <f t="shared" si="0"/>
      </c>
      <c r="E14" s="240"/>
      <c r="F14" s="241"/>
      <c r="G14" s="208">
        <f t="shared" si="1"/>
      </c>
      <c r="H14" s="205" t="s">
        <v>266</v>
      </c>
      <c r="I14" s="240"/>
      <c r="J14" s="241"/>
      <c r="K14" s="208">
        <f t="shared" si="2"/>
      </c>
    </row>
    <row r="15" spans="1:11" ht="16.5" customHeight="1">
      <c r="A15" s="205" t="s">
        <v>270</v>
      </c>
      <c r="B15" s="240"/>
      <c r="C15" s="241"/>
      <c r="D15" s="208">
        <f t="shared" si="0"/>
      </c>
      <c r="E15" s="240"/>
      <c r="F15" s="241"/>
      <c r="G15" s="208">
        <f t="shared" si="1"/>
      </c>
      <c r="H15" s="556"/>
      <c r="I15" s="558"/>
      <c r="J15" s="557"/>
      <c r="K15" s="866"/>
    </row>
    <row r="16" spans="1:11" ht="16.5" customHeight="1">
      <c r="A16" s="205" t="s">
        <v>271</v>
      </c>
      <c r="B16" s="240"/>
      <c r="C16" s="241"/>
      <c r="D16" s="208">
        <f t="shared" si="0"/>
      </c>
      <c r="E16" s="240"/>
      <c r="F16" s="241"/>
      <c r="G16" s="208">
        <f t="shared" si="1"/>
      </c>
      <c r="H16" s="556"/>
      <c r="I16" s="559"/>
      <c r="J16" s="557"/>
      <c r="K16" s="866"/>
    </row>
    <row r="17" spans="1:11" ht="16.5" customHeight="1">
      <c r="A17" s="205" t="s">
        <v>272</v>
      </c>
      <c r="B17" s="240"/>
      <c r="C17" s="241"/>
      <c r="D17" s="208">
        <f t="shared" si="0"/>
      </c>
      <c r="E17" s="240"/>
      <c r="F17" s="241"/>
      <c r="G17" s="208">
        <f t="shared" si="1"/>
      </c>
      <c r="H17" s="556"/>
      <c r="I17" s="559"/>
      <c r="J17" s="557"/>
      <c r="K17" s="866"/>
    </row>
    <row r="18" spans="1:11" ht="16.5" customHeight="1">
      <c r="A18" s="205" t="s">
        <v>273</v>
      </c>
      <c r="B18" s="240"/>
      <c r="C18" s="241"/>
      <c r="D18" s="208">
        <f t="shared" si="0"/>
      </c>
      <c r="E18" s="240"/>
      <c r="F18" s="241"/>
      <c r="G18" s="208">
        <f t="shared" si="1"/>
      </c>
      <c r="H18" s="556"/>
      <c r="I18" s="559"/>
      <c r="J18" s="557"/>
      <c r="K18" s="866"/>
    </row>
    <row r="19" spans="1:11" ht="16.5" customHeight="1">
      <c r="A19" s="205" t="s">
        <v>274</v>
      </c>
      <c r="B19" s="240"/>
      <c r="C19" s="241"/>
      <c r="D19" s="208">
        <f t="shared" si="0"/>
      </c>
      <c r="E19" s="240"/>
      <c r="F19" s="241"/>
      <c r="G19" s="208">
        <f t="shared" si="1"/>
      </c>
      <c r="H19" s="556"/>
      <c r="I19" s="560"/>
      <c r="J19" s="557"/>
      <c r="K19" s="866"/>
    </row>
    <row r="20" spans="1:11" ht="16.5" customHeight="1">
      <c r="A20" s="205" t="s">
        <v>275</v>
      </c>
      <c r="B20" s="240"/>
      <c r="C20" s="241"/>
      <c r="D20" s="208">
        <f t="shared" si="0"/>
      </c>
      <c r="E20" s="240"/>
      <c r="F20" s="241"/>
      <c r="G20" s="208">
        <f t="shared" si="1"/>
      </c>
      <c r="H20" s="205" t="s">
        <v>217</v>
      </c>
      <c r="I20" s="240"/>
      <c r="J20" s="241"/>
      <c r="K20" s="208">
        <f t="shared" si="2"/>
      </c>
    </row>
    <row r="21" spans="1:11" ht="16.5" customHeight="1">
      <c r="A21" s="205" t="s">
        <v>276</v>
      </c>
      <c r="B21" s="240"/>
      <c r="C21" s="241"/>
      <c r="D21" s="208">
        <f t="shared" si="0"/>
      </c>
      <c r="E21" s="240"/>
      <c r="F21" s="241"/>
      <c r="G21" s="208">
        <f t="shared" si="1"/>
      </c>
      <c r="H21" s="205" t="s">
        <v>232</v>
      </c>
      <c r="I21" s="240"/>
      <c r="J21" s="241"/>
      <c r="K21" s="208">
        <f t="shared" si="2"/>
      </c>
    </row>
    <row r="22" spans="1:11" ht="16.5" customHeight="1">
      <c r="A22" s="205" t="s">
        <v>277</v>
      </c>
      <c r="B22" s="240"/>
      <c r="C22" s="241"/>
      <c r="D22" s="208">
        <f t="shared" si="0"/>
      </c>
      <c r="E22" s="240"/>
      <c r="F22" s="241"/>
      <c r="G22" s="208">
        <f t="shared" si="1"/>
      </c>
      <c r="H22" s="205" t="s">
        <v>218</v>
      </c>
      <c r="I22" s="240"/>
      <c r="J22" s="241"/>
      <c r="K22" s="208">
        <f t="shared" si="2"/>
      </c>
    </row>
    <row r="23" spans="1:11" ht="16.5" customHeight="1">
      <c r="A23" s="205" t="s">
        <v>278</v>
      </c>
      <c r="B23" s="240"/>
      <c r="C23" s="241"/>
      <c r="D23" s="208">
        <f t="shared" si="0"/>
      </c>
      <c r="E23" s="240"/>
      <c r="F23" s="241"/>
      <c r="G23" s="208">
        <f t="shared" si="1"/>
      </c>
      <c r="H23" s="205" t="s">
        <v>243</v>
      </c>
      <c r="I23" s="240"/>
      <c r="J23" s="241"/>
      <c r="K23" s="208">
        <f t="shared" si="2"/>
      </c>
    </row>
    <row r="24" spans="1:11" ht="16.5" customHeight="1">
      <c r="A24" s="205" t="s">
        <v>279</v>
      </c>
      <c r="B24" s="240"/>
      <c r="C24" s="241"/>
      <c r="D24" s="208">
        <f t="shared" si="0"/>
      </c>
      <c r="E24" s="240"/>
      <c r="F24" s="241"/>
      <c r="G24" s="208">
        <f t="shared" si="1"/>
      </c>
      <c r="H24" s="205" t="s">
        <v>219</v>
      </c>
      <c r="I24" s="240"/>
      <c r="J24" s="241"/>
      <c r="K24" s="208">
        <f t="shared" si="2"/>
      </c>
    </row>
    <row r="25" spans="1:11" ht="16.5" customHeight="1">
      <c r="A25" s="205" t="s">
        <v>280</v>
      </c>
      <c r="B25" s="240"/>
      <c r="C25" s="241"/>
      <c r="D25" s="208">
        <f t="shared" si="0"/>
      </c>
      <c r="E25" s="240"/>
      <c r="F25" s="241"/>
      <c r="G25" s="208">
        <f t="shared" si="1"/>
      </c>
      <c r="H25" s="205" t="s">
        <v>233</v>
      </c>
      <c r="I25" s="240"/>
      <c r="J25" s="241"/>
      <c r="K25" s="208">
        <f t="shared" si="2"/>
      </c>
    </row>
    <row r="26" spans="1:11" ht="16.5" customHeight="1">
      <c r="A26" s="205" t="s">
        <v>217</v>
      </c>
      <c r="B26" s="240"/>
      <c r="C26" s="241"/>
      <c r="D26" s="208">
        <f t="shared" si="0"/>
      </c>
      <c r="E26" s="240"/>
      <c r="F26" s="241"/>
      <c r="G26" s="208">
        <f t="shared" si="1"/>
      </c>
      <c r="H26" s="205" t="s">
        <v>220</v>
      </c>
      <c r="I26" s="240"/>
      <c r="J26" s="241"/>
      <c r="K26" s="208">
        <f t="shared" si="2"/>
      </c>
    </row>
    <row r="27" spans="1:11" ht="16.5" customHeight="1">
      <c r="A27" s="205" t="s">
        <v>232</v>
      </c>
      <c r="B27" s="240"/>
      <c r="C27" s="241"/>
      <c r="D27" s="208">
        <f t="shared" si="0"/>
      </c>
      <c r="E27" s="240"/>
      <c r="F27" s="241"/>
      <c r="G27" s="208">
        <f t="shared" si="1"/>
      </c>
      <c r="H27" s="205" t="s">
        <v>234</v>
      </c>
      <c r="I27" s="240"/>
      <c r="J27" s="241"/>
      <c r="K27" s="208">
        <f t="shared" si="2"/>
      </c>
    </row>
    <row r="28" spans="1:11" ht="16.5" customHeight="1">
      <c r="A28" s="205" t="s">
        <v>218</v>
      </c>
      <c r="B28" s="240"/>
      <c r="C28" s="241"/>
      <c r="D28" s="208">
        <f aca="true" t="shared" si="3" ref="D28:D41">IF(OR(B28="",C28=""),"",IF(OR(B28="July",B28="August",B28="September",B28="October",B28="November",B28="December"),clFiscalYear-1,clFiscalYear))</f>
      </c>
      <c r="E28" s="240"/>
      <c r="F28" s="241"/>
      <c r="G28" s="208">
        <f aca="true" t="shared" si="4" ref="G28:G41">IF(OR(E28="",F28=""),"",IF(OR(E28="July",E28="August",E28="September",E28="October",E28="November",E28="December"),clFiscalYear-1,clFiscalYear))</f>
      </c>
      <c r="H28" s="205" t="s">
        <v>221</v>
      </c>
      <c r="I28" s="240"/>
      <c r="J28" s="241"/>
      <c r="K28" s="208">
        <f t="shared" si="2"/>
      </c>
    </row>
    <row r="29" spans="1:11" ht="16.5" customHeight="1" thickBot="1">
      <c r="A29" s="205" t="s">
        <v>243</v>
      </c>
      <c r="B29" s="240"/>
      <c r="C29" s="241"/>
      <c r="D29" s="208">
        <f t="shared" si="3"/>
      </c>
      <c r="E29" s="240"/>
      <c r="F29" s="241"/>
      <c r="G29" s="208">
        <f t="shared" si="4"/>
      </c>
      <c r="H29" s="206" t="s">
        <v>235</v>
      </c>
      <c r="I29" s="248"/>
      <c r="J29" s="249"/>
      <c r="K29" s="209">
        <f t="shared" si="2"/>
      </c>
    </row>
    <row r="30" spans="1:11" ht="16.5" customHeight="1">
      <c r="A30" s="205" t="s">
        <v>219</v>
      </c>
      <c r="B30" s="240"/>
      <c r="C30" s="241"/>
      <c r="D30" s="208">
        <f t="shared" si="3"/>
      </c>
      <c r="E30" s="240"/>
      <c r="F30" s="241"/>
      <c r="G30" s="554">
        <f t="shared" si="4"/>
      </c>
      <c r="H30" s="867"/>
      <c r="I30" s="868"/>
      <c r="J30" s="868"/>
      <c r="K30" s="871"/>
    </row>
    <row r="31" spans="1:11" ht="16.5" customHeight="1">
      <c r="A31" s="205" t="s">
        <v>233</v>
      </c>
      <c r="B31" s="240"/>
      <c r="C31" s="241"/>
      <c r="D31" s="208">
        <f t="shared" si="3"/>
      </c>
      <c r="E31" s="240"/>
      <c r="F31" s="241"/>
      <c r="G31" s="554">
        <f t="shared" si="4"/>
      </c>
      <c r="H31" s="869"/>
      <c r="I31" s="870"/>
      <c r="J31" s="870"/>
      <c r="K31" s="872"/>
    </row>
    <row r="32" spans="1:7" ht="16.5" customHeight="1">
      <c r="A32" s="205" t="s">
        <v>220</v>
      </c>
      <c r="B32" s="240"/>
      <c r="C32" s="241"/>
      <c r="D32" s="208">
        <f t="shared" si="3"/>
      </c>
      <c r="E32" s="240"/>
      <c r="F32" s="241"/>
      <c r="G32" s="208">
        <f t="shared" si="4"/>
      </c>
    </row>
    <row r="33" spans="1:7" ht="16.5" customHeight="1">
      <c r="A33" s="205" t="s">
        <v>234</v>
      </c>
      <c r="B33" s="240"/>
      <c r="C33" s="241"/>
      <c r="D33" s="208">
        <f t="shared" si="3"/>
      </c>
      <c r="E33" s="240"/>
      <c r="F33" s="241"/>
      <c r="G33" s="208">
        <f t="shared" si="4"/>
      </c>
    </row>
    <row r="34" spans="1:7" ht="16.5" customHeight="1">
      <c r="A34" s="205" t="s">
        <v>221</v>
      </c>
      <c r="B34" s="240"/>
      <c r="C34" s="241"/>
      <c r="D34" s="208">
        <f t="shared" si="3"/>
      </c>
      <c r="E34" s="240"/>
      <c r="F34" s="241"/>
      <c r="G34" s="208">
        <f t="shared" si="4"/>
      </c>
    </row>
    <row r="35" spans="1:7" ht="16.5" customHeight="1">
      <c r="A35" s="205" t="s">
        <v>235</v>
      </c>
      <c r="B35" s="240"/>
      <c r="C35" s="241"/>
      <c r="D35" s="208">
        <f t="shared" si="3"/>
      </c>
      <c r="E35" s="240"/>
      <c r="F35" s="241"/>
      <c r="G35" s="208">
        <f t="shared" si="4"/>
      </c>
    </row>
    <row r="36" spans="1:7" ht="16.5" customHeight="1">
      <c r="A36" s="205" t="s">
        <v>222</v>
      </c>
      <c r="B36" s="240"/>
      <c r="C36" s="241"/>
      <c r="D36" s="208">
        <f t="shared" si="3"/>
      </c>
      <c r="E36" s="240"/>
      <c r="F36" s="241"/>
      <c r="G36" s="208">
        <f t="shared" si="4"/>
      </c>
    </row>
    <row r="37" spans="1:7" ht="16.5" customHeight="1">
      <c r="A37" s="205" t="s">
        <v>236</v>
      </c>
      <c r="B37" s="240"/>
      <c r="C37" s="241"/>
      <c r="D37" s="208">
        <f t="shared" si="3"/>
      </c>
      <c r="E37" s="240"/>
      <c r="F37" s="241"/>
      <c r="G37" s="208">
        <f t="shared" si="4"/>
      </c>
    </row>
    <row r="38" spans="1:7" ht="16.5" customHeight="1">
      <c r="A38" s="205" t="s">
        <v>223</v>
      </c>
      <c r="B38" s="240"/>
      <c r="C38" s="241"/>
      <c r="D38" s="208">
        <f t="shared" si="3"/>
      </c>
      <c r="E38" s="240"/>
      <c r="F38" s="241"/>
      <c r="G38" s="208">
        <f t="shared" si="4"/>
      </c>
    </row>
    <row r="39" spans="1:7" ht="16.5" customHeight="1">
      <c r="A39" s="205" t="s">
        <v>237</v>
      </c>
      <c r="B39" s="240"/>
      <c r="C39" s="241"/>
      <c r="D39" s="208">
        <f t="shared" si="3"/>
      </c>
      <c r="E39" s="240"/>
      <c r="F39" s="241"/>
      <c r="G39" s="208">
        <f t="shared" si="4"/>
      </c>
    </row>
    <row r="40" spans="1:7" ht="16.5" customHeight="1">
      <c r="A40" s="205" t="s">
        <v>224</v>
      </c>
      <c r="B40" s="240"/>
      <c r="C40" s="241"/>
      <c r="D40" s="208">
        <f t="shared" si="3"/>
      </c>
      <c r="E40" s="240"/>
      <c r="F40" s="241"/>
      <c r="G40" s="208">
        <f t="shared" si="4"/>
      </c>
    </row>
    <row r="41" spans="1:7" ht="16.5" customHeight="1" thickBot="1">
      <c r="A41" s="206" t="s">
        <v>238</v>
      </c>
      <c r="B41" s="248"/>
      <c r="C41" s="249"/>
      <c r="D41" s="209">
        <f t="shared" si="3"/>
      </c>
      <c r="E41" s="250"/>
      <c r="F41" s="249"/>
      <c r="G41" s="209">
        <f t="shared" si="4"/>
      </c>
    </row>
  </sheetData>
  <sheetProtection password="860F" sheet="1" selectLockedCells="1"/>
  <mergeCells count="9">
    <mergeCell ref="K15:K19"/>
    <mergeCell ref="H30:J31"/>
    <mergeCell ref="K30:K31"/>
    <mergeCell ref="I3:K3"/>
    <mergeCell ref="B3:D3"/>
    <mergeCell ref="E3:G3"/>
    <mergeCell ref="H6:H7"/>
    <mergeCell ref="I6:J7"/>
    <mergeCell ref="K6:K7"/>
  </mergeCells>
  <dataValidations count="6">
    <dataValidation type="list" allowBlank="1" showInputMessage="1" showErrorMessage="1" sqref="B4:B5 B8:B41 E4:E5 E8:E41 I42:I43">
      <formula1>rgMonths</formula1>
    </dataValidation>
    <dataValidation type="list" allowBlank="1" showInputMessage="1" showErrorMessage="1" sqref="C4:C5 C8:C41 F4:F5 F8:F41 J42:J43 J4:J5 J10:J14 J20:J29">
      <formula1>rgDays</formula1>
    </dataValidation>
    <dataValidation type="list" allowBlank="1" showInputMessage="1" showErrorMessage="1" sqref="E6">
      <formula1>rgYesNo</formula1>
    </dataValidation>
    <dataValidation type="decimal" allowBlank="1" showInputMessage="1" showErrorMessage="1" errorTitle="Invalid Entry" error="The number of hours in the program day must be between 0 and 24, &#10;or press Delete to clear this value entirely." sqref="B7 E7 I9">
      <formula1>0</formula1>
      <formula2>24</formula2>
    </dataValidation>
    <dataValidation type="list" allowBlank="1" showInputMessage="1" showErrorMessage="1" sqref="I4:I5 I10:I14 I20:I29">
      <formula1>"July, August"</formula1>
    </dataValidation>
    <dataValidation type="list" allowBlank="1" showInputMessage="1" showErrorMessage="1" sqref="I8 B6">
      <formula1>"Yes"</formula1>
    </dataValidation>
  </dataValidations>
  <printOptions/>
  <pageMargins left="0.75" right="0.75" top="1" bottom="1" header="0.5" footer="0.5"/>
  <pageSetup fitToHeight="1" fitToWidth="1" horizontalDpi="300" verticalDpi="300" orientation="portrait" scale="86" r:id="rId1"/>
  <headerFooter alignWithMargins="0">
    <oddFooter>&amp;LNSES Budget Template - Approved&amp;C01/2023&amp;RCalendar Info</oddFooter>
  </headerFooter>
  <colBreaks count="2" manualBreakCount="2">
    <brk id="11" max="65535" man="1"/>
    <brk id="16" max="65535" man="1"/>
  </colBreaks>
</worksheet>
</file>

<file path=xl/worksheets/sheet31.xml><?xml version="1.0" encoding="utf-8"?>
<worksheet xmlns="http://schemas.openxmlformats.org/spreadsheetml/2006/main" xmlns:r="http://schemas.openxmlformats.org/officeDocument/2006/relationships">
  <sheetPr>
    <pageSetUpPr fitToPage="1"/>
  </sheetPr>
  <dimension ref="A1:AF32"/>
  <sheetViews>
    <sheetView showGridLines="0" showZeros="0" zoomScalePageLayoutView="0" workbookViewId="0" topLeftCell="A1">
      <selection activeCell="AH24" sqref="AH24"/>
    </sheetView>
  </sheetViews>
  <sheetFormatPr defaultColWidth="9.140625" defaultRowHeight="12.75"/>
  <cols>
    <col min="1" max="2" width="3.7109375" style="0" customWidth="1"/>
    <col min="3" max="3" width="4.00390625" style="0" customWidth="1"/>
    <col min="4" max="7" width="3.7109375" style="0" customWidth="1"/>
    <col min="9" max="15" width="3.7109375" style="0" customWidth="1"/>
    <col min="17" max="23" width="3.7109375" style="0" customWidth="1"/>
    <col min="25" max="31" width="3.7109375" style="0" customWidth="1"/>
  </cols>
  <sheetData>
    <row r="1" spans="1:31" s="141" customFormat="1" ht="15.75">
      <c r="A1" s="140" t="str">
        <f>"FY "&amp;clFiscalYear&amp;" - Program Calendar - Education"</f>
        <v>FY 2024 - Program Calendar - Education</v>
      </c>
      <c r="C1" s="142"/>
      <c r="D1" s="143"/>
      <c r="E1" s="143"/>
      <c r="F1" s="143"/>
      <c r="G1" s="144"/>
      <c r="H1" s="145"/>
      <c r="I1" s="145"/>
      <c r="J1" s="145"/>
      <c r="L1" s="145"/>
      <c r="M1" s="145"/>
      <c r="Q1" s="433" t="s">
        <v>713</v>
      </c>
      <c r="AE1" s="220"/>
    </row>
    <row r="2" spans="1:31" ht="4.5" customHeight="1">
      <c r="A2" s="883"/>
      <c r="B2" s="883"/>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row>
    <row r="3" spans="1:32" ht="15.75">
      <c r="A3" s="889" t="s">
        <v>86</v>
      </c>
      <c r="B3" s="889"/>
      <c r="C3" s="889"/>
      <c r="D3" s="890"/>
      <c r="F3" s="887">
        <f>IF(clSchoolName="","",clSchoolName)</f>
      </c>
      <c r="G3" s="888"/>
      <c r="H3" s="888"/>
      <c r="I3" s="888"/>
      <c r="J3" s="888"/>
      <c r="K3" s="888"/>
      <c r="L3" s="888"/>
      <c r="M3" s="888"/>
      <c r="N3" s="888"/>
      <c r="O3" s="888"/>
      <c r="P3" s="888"/>
      <c r="X3" s="210" t="s">
        <v>87</v>
      </c>
      <c r="Y3" s="173"/>
      <c r="Z3" s="173"/>
      <c r="AA3" s="173"/>
      <c r="AB3" s="887">
        <f>clTotDaysEd</f>
        <v>0</v>
      </c>
      <c r="AC3" s="888"/>
      <c r="AD3" s="888"/>
      <c r="AE3" s="888"/>
      <c r="AF3" s="2"/>
    </row>
    <row r="4" spans="18:32" ht="3.75" customHeight="1">
      <c r="R4" s="174"/>
      <c r="S4" s="174"/>
      <c r="T4" s="174"/>
      <c r="U4" s="175"/>
      <c r="V4" s="174"/>
      <c r="AF4" s="2"/>
    </row>
    <row r="5" spans="1:31" ht="15.75">
      <c r="A5" s="210" t="s">
        <v>65</v>
      </c>
      <c r="B5" s="4"/>
      <c r="C5" s="4"/>
      <c r="F5" s="887">
        <f>IF(clProgramName="","",clProgramName)</f>
      </c>
      <c r="G5" s="888"/>
      <c r="H5" s="888"/>
      <c r="I5" s="888"/>
      <c r="J5" s="888"/>
      <c r="K5" s="888"/>
      <c r="L5" s="888"/>
      <c r="M5" s="888"/>
      <c r="N5" s="888"/>
      <c r="O5" s="888"/>
      <c r="P5" s="888"/>
      <c r="Q5" s="4"/>
      <c r="R5" s="4"/>
      <c r="S5" s="4"/>
      <c r="T5" s="4"/>
      <c r="U5" s="4"/>
      <c r="V5" s="4"/>
      <c r="W5" s="4"/>
      <c r="X5" s="210" t="s">
        <v>415</v>
      </c>
      <c r="Y5" s="4"/>
      <c r="Z5" s="4"/>
      <c r="AA5" s="4"/>
      <c r="AB5" s="887">
        <f>IF(COUNTIF(A10:G14,"&gt;0")+COUNTIF(A10:G14,"&gt;'&lt;'")&gt;0,1,0)+IF(COUNTIF(A17:G21,"&gt;0")+COUNTIF(A17:G21,"&gt;'&lt;'")&gt;0,1,0)+IF(COUNTIF(A24:G28,"&gt;0")+COUNTIF(A24:G28,"&gt;'&lt;'")&gt;0,1,0)+IF(COUNTIF(I10:O14,"&gt;0")+COUNTIF(I10:O14,"&gt;'&lt;'")&gt;0,1,0)+IF(COUNTIF(I17:O21,"&gt;0")+COUNTIF(I17:O21,"&gt;'&lt;'")&gt;0,1,0)+IF(COUNTIF(I24:O28,"&gt;0")+COUNTIF(I24:O28,"&gt;'&lt;'")&gt;0,1,0)+IF(COUNTIF(Q10:W14,"&gt;0")+COUNTIF(Q10:W14,"&gt;'&lt;'")&gt;0,1,0)+IF(COUNTIF(Q17:W21,"&gt;0")+COUNTIF(Q17:W21,"&gt;'&lt;'")&gt;0,1,0)+IF(COUNTIF(Q24:W28,"&gt;0")+COUNTIF(Q24:W28,"&gt;'&lt;'")&gt;0,1,0)+IF(COUNTIF(Y10:AE14,"&gt;0")+COUNTIF(Y10:AE14,"&gt;'&lt;'")&gt;0,1,0)+IF(COUNTIF(Y17:AE21,"&gt;0")+COUNTIF(Y17:AE21,"&gt;'&lt;'")&gt;0,1,0)+IF(COUNTIF(Y24:AE28,"&gt;0")+COUNTIF(Y24:AE28,"&gt;'&lt;'")&gt;0,1,0)</f>
        <v>0</v>
      </c>
      <c r="AC5" s="888"/>
      <c r="AD5" s="888"/>
      <c r="AE5" s="888"/>
    </row>
    <row r="6" spans="1:31"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885" t="s">
        <v>44</v>
      </c>
      <c r="B7" s="886"/>
      <c r="C7" s="886"/>
      <c r="D7" s="886"/>
      <c r="E7" s="886"/>
      <c r="F7" s="886"/>
      <c r="G7" s="886"/>
      <c r="H7" s="4"/>
      <c r="I7" s="885" t="s">
        <v>45</v>
      </c>
      <c r="J7" s="885"/>
      <c r="K7" s="885"/>
      <c r="L7" s="885"/>
      <c r="M7" s="885"/>
      <c r="N7" s="885"/>
      <c r="O7" s="885"/>
      <c r="P7" s="4"/>
      <c r="Q7" s="885" t="s">
        <v>46</v>
      </c>
      <c r="R7" s="885"/>
      <c r="S7" s="885"/>
      <c r="T7" s="885"/>
      <c r="U7" s="885"/>
      <c r="V7" s="885"/>
      <c r="W7" s="885"/>
      <c r="X7" s="4"/>
      <c r="Y7" s="885" t="s">
        <v>47</v>
      </c>
      <c r="Z7" s="885"/>
      <c r="AA7" s="885"/>
      <c r="AB7" s="885"/>
      <c r="AC7" s="885"/>
      <c r="AD7" s="885"/>
      <c r="AE7" s="885"/>
    </row>
    <row r="8" spans="1:31" s="5" customFormat="1" ht="12" customHeight="1">
      <c r="A8" s="10" t="s">
        <v>52</v>
      </c>
      <c r="B8" s="11" t="s">
        <v>53</v>
      </c>
      <c r="C8" s="11" t="s">
        <v>54</v>
      </c>
      <c r="D8" s="11" t="s">
        <v>55</v>
      </c>
      <c r="E8" s="11" t="s">
        <v>54</v>
      </c>
      <c r="F8" s="11" t="s">
        <v>56</v>
      </c>
      <c r="G8" s="11" t="s">
        <v>52</v>
      </c>
      <c r="H8" s="11"/>
      <c r="I8" s="11" t="s">
        <v>52</v>
      </c>
      <c r="J8" s="11" t="s">
        <v>53</v>
      </c>
      <c r="K8" s="11" t="s">
        <v>54</v>
      </c>
      <c r="L8" s="11" t="s">
        <v>55</v>
      </c>
      <c r="M8" s="11" t="s">
        <v>54</v>
      </c>
      <c r="N8" s="11" t="s">
        <v>56</v>
      </c>
      <c r="O8" s="11" t="s">
        <v>52</v>
      </c>
      <c r="P8" s="11"/>
      <c r="Q8" s="11" t="s">
        <v>52</v>
      </c>
      <c r="R8" s="10" t="s">
        <v>53</v>
      </c>
      <c r="S8" s="11" t="s">
        <v>54</v>
      </c>
      <c r="T8" s="11" t="s">
        <v>55</v>
      </c>
      <c r="U8" s="11" t="s">
        <v>54</v>
      </c>
      <c r="V8" s="11" t="s">
        <v>56</v>
      </c>
      <c r="W8" s="11" t="s">
        <v>52</v>
      </c>
      <c r="X8" s="11"/>
      <c r="Y8" s="10" t="s">
        <v>52</v>
      </c>
      <c r="Z8" s="10" t="s">
        <v>53</v>
      </c>
      <c r="AA8" s="10" t="s">
        <v>54</v>
      </c>
      <c r="AB8" s="10" t="s">
        <v>55</v>
      </c>
      <c r="AC8" s="10" t="s">
        <v>54</v>
      </c>
      <c r="AD8" s="10" t="s">
        <v>56</v>
      </c>
      <c r="AE8" s="10" t="s">
        <v>52</v>
      </c>
    </row>
    <row r="9" spans="1:31" ht="12.75">
      <c r="A9" s="799" t="s">
        <v>48</v>
      </c>
      <c r="B9" s="799"/>
      <c r="C9" s="4"/>
      <c r="D9" s="4"/>
      <c r="E9" s="2"/>
      <c r="F9" s="2"/>
      <c r="G9" s="2"/>
      <c r="H9" s="2"/>
      <c r="I9" s="12" t="s">
        <v>49</v>
      </c>
      <c r="J9" s="12"/>
      <c r="K9" s="1"/>
      <c r="L9" s="1"/>
      <c r="M9" s="1"/>
      <c r="N9" s="1"/>
      <c r="O9" s="1"/>
      <c r="P9" s="1"/>
      <c r="Q9" s="12" t="s">
        <v>50</v>
      </c>
      <c r="R9" s="3"/>
      <c r="S9" s="1"/>
      <c r="T9" s="1"/>
      <c r="U9" s="1"/>
      <c r="V9" s="1"/>
      <c r="W9" s="1"/>
      <c r="X9" s="1"/>
      <c r="Y9" s="3" t="s">
        <v>51</v>
      </c>
      <c r="Z9" s="7"/>
      <c r="AA9" s="8"/>
      <c r="AB9" s="8"/>
      <c r="AC9" s="8"/>
      <c r="AD9" s="8"/>
      <c r="AE9" s="8"/>
    </row>
    <row r="10" spans="1:31" ht="17.25" customHeight="1">
      <c r="A10" s="168" t="str">
        <f>'(Data)'!BG1</f>
        <v>.30</v>
      </c>
      <c r="B10" s="168" t="str">
        <f>'(Data)'!BH1</f>
        <v>.31</v>
      </c>
      <c r="C10" s="168">
        <f>'(Data)'!BI1</f>
        <v>0</v>
      </c>
      <c r="D10" s="168">
        <f>'(Data)'!BJ1</f>
        <v>0</v>
      </c>
      <c r="E10" s="168">
        <f>'(Data)'!BK1</f>
        <v>0</v>
      </c>
      <c r="F10" s="168">
        <f>'(Data)'!BL1</f>
        <v>0</v>
      </c>
      <c r="G10" s="168" t="str">
        <f>'(Data)'!BM1</f>
        <v>.1</v>
      </c>
      <c r="H10" s="2"/>
      <c r="I10" s="168" t="str">
        <f>'(Data)'!BG16</f>
        <v>.1</v>
      </c>
      <c r="J10" s="168" t="str">
        <f>'(Data)'!BH16</f>
        <v>.2</v>
      </c>
      <c r="K10" s="168" t="str">
        <f>'(Data)'!BI16</f>
        <v>.3</v>
      </c>
      <c r="L10" s="168" t="str">
        <f>'(Data)'!BJ16</f>
        <v>.4</v>
      </c>
      <c r="M10" s="168" t="str">
        <f>'(Data)'!BK16</f>
        <v>.5</v>
      </c>
      <c r="N10" s="168" t="str">
        <f>'(Data)'!BL16</f>
        <v>.6</v>
      </c>
      <c r="O10" s="168" t="str">
        <f>'(Data)'!BM16</f>
        <v>.7</v>
      </c>
      <c r="P10" s="2"/>
      <c r="Q10" s="168">
        <f>'(Data)'!BG31</f>
        <v>0</v>
      </c>
      <c r="R10" s="168" t="str">
        <f>'(Data)'!BH31</f>
        <v>.1</v>
      </c>
      <c r="S10" s="168" t="str">
        <f>'(Data)'!BI31</f>
        <v>.2</v>
      </c>
      <c r="T10" s="168" t="str">
        <f>'(Data)'!BJ31</f>
        <v>.3</v>
      </c>
      <c r="U10" s="168" t="str">
        <f>'(Data)'!BK31</f>
        <v>.4</v>
      </c>
      <c r="V10" s="168" t="str">
        <f>'(Data)'!BL31</f>
        <v>.5</v>
      </c>
      <c r="W10" s="168" t="str">
        <f>'(Data)'!BM31</f>
        <v>.6</v>
      </c>
      <c r="X10" s="2"/>
      <c r="Y10" s="168">
        <f>'(Data)'!BG46</f>
        <v>0</v>
      </c>
      <c r="Z10" s="168" t="str">
        <f>'(Data)'!BH46</f>
        <v>.1</v>
      </c>
      <c r="AA10" s="168" t="str">
        <f>'(Data)'!BI46</f>
        <v>.2</v>
      </c>
      <c r="AB10" s="168" t="str">
        <f>'(Data)'!BJ46</f>
        <v>.3</v>
      </c>
      <c r="AC10" s="168" t="str">
        <f>'(Data)'!BK46</f>
        <v>.4</v>
      </c>
      <c r="AD10" s="168" t="str">
        <f>'(Data)'!BL46</f>
        <v>.5</v>
      </c>
      <c r="AE10" s="168" t="str">
        <f>'(Data)'!BM46</f>
        <v>.6</v>
      </c>
    </row>
    <row r="11" spans="1:31" ht="17.25" customHeight="1">
      <c r="A11" s="168" t="str">
        <f>'(Data)'!BG2</f>
        <v>.2</v>
      </c>
      <c r="B11" s="168" t="str">
        <f>'(Data)'!BH2</f>
        <v>.3</v>
      </c>
      <c r="C11" s="168" t="str">
        <f>'(Data)'!BI2</f>
        <v>.4</v>
      </c>
      <c r="D11" s="168" t="str">
        <f>'(Data)'!BJ2</f>
        <v>.5</v>
      </c>
      <c r="E11" s="168" t="str">
        <f>'(Data)'!BK2</f>
        <v>.6</v>
      </c>
      <c r="F11" s="169" t="str">
        <f>'(Data)'!BL2</f>
        <v>.7</v>
      </c>
      <c r="G11" s="168" t="str">
        <f>'(Data)'!BM2</f>
        <v>.8</v>
      </c>
      <c r="H11" s="2"/>
      <c r="I11" s="168" t="str">
        <f>'(Data)'!BG17</f>
        <v>.8</v>
      </c>
      <c r="J11" s="168" t="str">
        <f>'(Data)'!BH17</f>
        <v>.9</v>
      </c>
      <c r="K11" s="168" t="str">
        <f>'(Data)'!BI17</f>
        <v>.10</v>
      </c>
      <c r="L11" s="168" t="str">
        <f>'(Data)'!BJ17</f>
        <v>.11</v>
      </c>
      <c r="M11" s="168" t="str">
        <f>'(Data)'!BK17</f>
        <v>.12</v>
      </c>
      <c r="N11" s="169" t="str">
        <f>'(Data)'!BL17</f>
        <v>.13</v>
      </c>
      <c r="O11" s="168" t="str">
        <f>'(Data)'!BM17</f>
        <v>.14</v>
      </c>
      <c r="P11" s="2"/>
      <c r="Q11" s="168" t="str">
        <f>'(Data)'!BG32</f>
        <v>.7</v>
      </c>
      <c r="R11" s="168" t="str">
        <f>'(Data)'!BH32</f>
        <v>.8</v>
      </c>
      <c r="S11" s="168" t="str">
        <f>'(Data)'!BI32</f>
        <v>.9</v>
      </c>
      <c r="T11" s="168" t="str">
        <f>'(Data)'!BJ32</f>
        <v>.10</v>
      </c>
      <c r="U11" s="168" t="str">
        <f>'(Data)'!BK32</f>
        <v>.11</v>
      </c>
      <c r="V11" s="169" t="str">
        <f>'(Data)'!BL32</f>
        <v>.12</v>
      </c>
      <c r="W11" s="168" t="str">
        <f>'(Data)'!BM32</f>
        <v>.13</v>
      </c>
      <c r="X11" s="2"/>
      <c r="Y11" s="168" t="str">
        <f>'(Data)'!BG47</f>
        <v>.7</v>
      </c>
      <c r="Z11" s="168" t="str">
        <f>'(Data)'!BH47</f>
        <v>.8</v>
      </c>
      <c r="AA11" s="168" t="str">
        <f>'(Data)'!BI47</f>
        <v>.9</v>
      </c>
      <c r="AB11" s="168" t="str">
        <f>'(Data)'!BJ47</f>
        <v>.10</v>
      </c>
      <c r="AC11" s="168" t="str">
        <f>'(Data)'!BK47</f>
        <v>.11</v>
      </c>
      <c r="AD11" s="169" t="str">
        <f>'(Data)'!BL47</f>
        <v>.12</v>
      </c>
      <c r="AE11" s="168" t="str">
        <f>'(Data)'!BM47</f>
        <v>.13</v>
      </c>
    </row>
    <row r="12" spans="1:31" ht="17.25" customHeight="1">
      <c r="A12" s="168" t="str">
        <f>'(Data)'!BG3</f>
        <v>.9</v>
      </c>
      <c r="B12" s="170" t="str">
        <f>'(Data)'!BH3</f>
        <v>.10</v>
      </c>
      <c r="C12" s="168" t="str">
        <f>'(Data)'!BI3</f>
        <v>.11</v>
      </c>
      <c r="D12" s="168" t="str">
        <f>'(Data)'!BJ3</f>
        <v>.12</v>
      </c>
      <c r="E12" s="168" t="str">
        <f>'(Data)'!BK3</f>
        <v>.13</v>
      </c>
      <c r="F12" s="168" t="str">
        <f>'(Data)'!BL3</f>
        <v>.14</v>
      </c>
      <c r="G12" s="168" t="str">
        <f>'(Data)'!BM3</f>
        <v>.15</v>
      </c>
      <c r="H12" s="2"/>
      <c r="I12" s="168" t="str">
        <f>'(Data)'!BG18</f>
        <v>.15</v>
      </c>
      <c r="J12" s="170" t="str">
        <f>'(Data)'!BH18</f>
        <v>.16</v>
      </c>
      <c r="K12" s="168" t="str">
        <f>'(Data)'!BI18</f>
        <v>.17</v>
      </c>
      <c r="L12" s="168" t="str">
        <f>'(Data)'!BJ18</f>
        <v>.18</v>
      </c>
      <c r="M12" s="168" t="str">
        <f>'(Data)'!BK18</f>
        <v>.19</v>
      </c>
      <c r="N12" s="168" t="str">
        <f>'(Data)'!BL18</f>
        <v>.20</v>
      </c>
      <c r="O12" s="168" t="str">
        <f>'(Data)'!BM18</f>
        <v>.21</v>
      </c>
      <c r="P12" s="2"/>
      <c r="Q12" s="168" t="str">
        <f>'(Data)'!BG33</f>
        <v>.14</v>
      </c>
      <c r="R12" s="170" t="str">
        <f>'(Data)'!BH33</f>
        <v>.15</v>
      </c>
      <c r="S12" s="168" t="str">
        <f>'(Data)'!BI33</f>
        <v>.16</v>
      </c>
      <c r="T12" s="168" t="str">
        <f>'(Data)'!BJ33</f>
        <v>.17</v>
      </c>
      <c r="U12" s="168" t="str">
        <f>'(Data)'!BK33</f>
        <v>.18</v>
      </c>
      <c r="V12" s="168" t="str">
        <f>'(Data)'!BL33</f>
        <v>.19</v>
      </c>
      <c r="W12" s="168" t="str">
        <f>'(Data)'!BM33</f>
        <v>.20</v>
      </c>
      <c r="X12" s="2"/>
      <c r="Y12" s="168" t="str">
        <f>'(Data)'!BG48</f>
        <v>.14</v>
      </c>
      <c r="Z12" s="170" t="str">
        <f>'(Data)'!BH48</f>
        <v>.15</v>
      </c>
      <c r="AA12" s="168" t="str">
        <f>'(Data)'!BI48</f>
        <v>.16</v>
      </c>
      <c r="AB12" s="168" t="str">
        <f>'(Data)'!BJ48</f>
        <v>.17</v>
      </c>
      <c r="AC12" s="168" t="str">
        <f>'(Data)'!BK48</f>
        <v>.18</v>
      </c>
      <c r="AD12" s="168" t="str">
        <f>'(Data)'!BL48</f>
        <v>.19</v>
      </c>
      <c r="AE12" s="168" t="str">
        <f>'(Data)'!BM48</f>
        <v>.20</v>
      </c>
    </row>
    <row r="13" spans="1:31" ht="17.25" customHeight="1">
      <c r="A13" s="168" t="str">
        <f>'(Data)'!BG4</f>
        <v>.16</v>
      </c>
      <c r="B13" s="168" t="str">
        <f>'(Data)'!BH4</f>
        <v>.17</v>
      </c>
      <c r="C13" s="168" t="str">
        <f>'(Data)'!BI4</f>
        <v>.18</v>
      </c>
      <c r="D13" s="170" t="str">
        <f>'(Data)'!BJ4</f>
        <v>.19</v>
      </c>
      <c r="E13" s="168" t="str">
        <f>'(Data)'!BK4</f>
        <v>.20</v>
      </c>
      <c r="F13" s="168" t="str">
        <f>'(Data)'!BL4</f>
        <v>.21</v>
      </c>
      <c r="G13" s="168" t="str">
        <f>'(Data)'!BM4</f>
        <v>.22</v>
      </c>
      <c r="H13" s="2"/>
      <c r="I13" s="168" t="str">
        <f>'(Data)'!BG19</f>
        <v>.22</v>
      </c>
      <c r="J13" s="168" t="str">
        <f>'(Data)'!BH19</f>
        <v>.23</v>
      </c>
      <c r="K13" s="168" t="str">
        <f>'(Data)'!BI19</f>
        <v>.24</v>
      </c>
      <c r="L13" s="170" t="str">
        <f>'(Data)'!BJ19</f>
        <v>.25</v>
      </c>
      <c r="M13" s="168" t="str">
        <f>'(Data)'!BK19</f>
        <v>.26</v>
      </c>
      <c r="N13" s="168" t="str">
        <f>'(Data)'!BL19</f>
        <v>.27</v>
      </c>
      <c r="O13" s="168" t="str">
        <f>'(Data)'!BM19</f>
        <v>.28</v>
      </c>
      <c r="P13" s="2"/>
      <c r="Q13" s="168" t="str">
        <f>'(Data)'!BG34</f>
        <v>.21</v>
      </c>
      <c r="R13" s="168" t="str">
        <f>'(Data)'!BH34</f>
        <v>.22</v>
      </c>
      <c r="S13" s="168" t="str">
        <f>'(Data)'!BI34</f>
        <v>.23</v>
      </c>
      <c r="T13" s="170" t="str">
        <f>'(Data)'!BJ34</f>
        <v>.24</v>
      </c>
      <c r="U13" s="168" t="str">
        <f>'(Data)'!BK34</f>
        <v>.25</v>
      </c>
      <c r="V13" s="168" t="str">
        <f>'(Data)'!BL34</f>
        <v>.26</v>
      </c>
      <c r="W13" s="168" t="str">
        <f>'(Data)'!BM34</f>
        <v>.27</v>
      </c>
      <c r="X13" s="2"/>
      <c r="Y13" s="168" t="str">
        <f>'(Data)'!BG49</f>
        <v>.21</v>
      </c>
      <c r="Z13" s="168" t="str">
        <f>'(Data)'!BH49</f>
        <v>.22</v>
      </c>
      <c r="AA13" s="168" t="str">
        <f>'(Data)'!BI49</f>
        <v>.23</v>
      </c>
      <c r="AB13" s="170" t="str">
        <f>'(Data)'!BJ49</f>
        <v>.24</v>
      </c>
      <c r="AC13" s="168" t="str">
        <f>'(Data)'!BK49</f>
        <v>.25</v>
      </c>
      <c r="AD13" s="168" t="str">
        <f>'(Data)'!BL49</f>
        <v>.26</v>
      </c>
      <c r="AE13" s="168" t="str">
        <f>'(Data)'!BM49</f>
        <v>.27</v>
      </c>
    </row>
    <row r="14" spans="1:31" ht="17.25" customHeight="1">
      <c r="A14" s="168" t="str">
        <f>'(Data)'!BG5</f>
        <v>.23</v>
      </c>
      <c r="B14" s="171" t="str">
        <f>'(Data)'!BH5</f>
        <v>.24</v>
      </c>
      <c r="C14" s="168" t="str">
        <f>'(Data)'!BI5</f>
        <v>.25</v>
      </c>
      <c r="D14" s="168" t="str">
        <f>'(Data)'!BJ5</f>
        <v>.26</v>
      </c>
      <c r="E14" s="168" t="str">
        <f>'(Data)'!BK5</f>
        <v>.27</v>
      </c>
      <c r="F14" s="168" t="str">
        <f>'(Data)'!BL5</f>
        <v>.28</v>
      </c>
      <c r="G14" s="168" t="str">
        <f>'(Data)'!BM5</f>
        <v>.29</v>
      </c>
      <c r="H14" s="2"/>
      <c r="I14" s="168" t="str">
        <f>'(Data)'!BG20</f>
        <v>.29</v>
      </c>
      <c r="J14" s="171" t="str">
        <f>'(Data)'!BH20</f>
        <v>.30</v>
      </c>
      <c r="K14" s="168" t="str">
        <f>'(Data)'!BI20</f>
        <v>.31</v>
      </c>
      <c r="L14" s="168">
        <f>'(Data)'!BJ20</f>
        <v>0</v>
      </c>
      <c r="M14" s="168">
        <f>'(Data)'!BK20</f>
        <v>0</v>
      </c>
      <c r="N14" s="168">
        <f>'(Data)'!BL20</f>
        <v>0</v>
      </c>
      <c r="O14" s="168">
        <f>'(Data)'!BM20</f>
        <v>0</v>
      </c>
      <c r="P14" s="2"/>
      <c r="Q14" s="168" t="str">
        <f>'(Data)'!BG35</f>
        <v>.28</v>
      </c>
      <c r="R14" s="171" t="str">
        <f>'(Data)'!BH35</f>
        <v>.29</v>
      </c>
      <c r="S14" s="168" t="str">
        <f>'(Data)'!BI35</f>
        <v>.30</v>
      </c>
      <c r="T14" s="168" t="str">
        <f>'(Data)'!BJ35</f>
        <v>.31</v>
      </c>
      <c r="U14" s="168">
        <f>'(Data)'!BK35</f>
        <v>0</v>
      </c>
      <c r="V14" s="168">
        <f>'(Data)'!BL35</f>
        <v>0</v>
      </c>
      <c r="W14" s="168">
        <f>'(Data)'!BM35</f>
        <v>0</v>
      </c>
      <c r="X14" s="2"/>
      <c r="Y14" s="168" t="str">
        <f>'(Data)'!BG50</f>
        <v>.28</v>
      </c>
      <c r="Z14" s="171" t="str">
        <f>'(Data)'!BH50</f>
        <v>.29</v>
      </c>
      <c r="AA14" s="168" t="str">
        <f>'(Data)'!BI50</f>
        <v>.30</v>
      </c>
      <c r="AB14" s="168">
        <f>'(Data)'!BJ50</f>
        <v>0</v>
      </c>
      <c r="AC14" s="168">
        <f>'(Data)'!BK50</f>
        <v>0</v>
      </c>
      <c r="AD14" s="168">
        <f>'(Data)'!BL50</f>
        <v>0</v>
      </c>
      <c r="AE14" s="168">
        <f>'(Data)'!BM50</f>
        <v>0</v>
      </c>
    </row>
    <row r="15" spans="1:31" ht="12.75">
      <c r="A15" s="9"/>
      <c r="B15" s="9"/>
      <c r="C15" s="9"/>
      <c r="D15" s="9"/>
      <c r="E15" s="9"/>
      <c r="F15" s="9"/>
      <c r="G15" s="9"/>
      <c r="H15" s="2"/>
      <c r="I15" s="9"/>
      <c r="J15" s="9"/>
      <c r="K15" s="9"/>
      <c r="L15" s="9"/>
      <c r="M15" s="9"/>
      <c r="N15" s="9"/>
      <c r="O15" s="9"/>
      <c r="P15" s="2"/>
      <c r="Q15" s="9"/>
      <c r="R15" s="9"/>
      <c r="S15" s="9"/>
      <c r="T15" s="9"/>
      <c r="U15" s="9"/>
      <c r="V15" s="9"/>
      <c r="W15" s="9"/>
      <c r="X15" s="2"/>
      <c r="Y15" s="9"/>
      <c r="Z15" s="9"/>
      <c r="AA15" s="9"/>
      <c r="AB15" s="9"/>
      <c r="AC15" s="9"/>
      <c r="AD15" s="9"/>
      <c r="AE15" s="9"/>
    </row>
    <row r="16" spans="1:31" ht="12.75">
      <c r="A16" s="884" t="s">
        <v>57</v>
      </c>
      <c r="B16" s="884"/>
      <c r="C16" s="3"/>
      <c r="D16" s="3"/>
      <c r="E16" s="3"/>
      <c r="F16" s="3"/>
      <c r="G16" s="3"/>
      <c r="H16" s="12"/>
      <c r="I16" s="3" t="s">
        <v>58</v>
      </c>
      <c r="J16" s="3"/>
      <c r="K16" s="3"/>
      <c r="L16" s="3"/>
      <c r="M16" s="3"/>
      <c r="N16" s="3"/>
      <c r="O16" s="3"/>
      <c r="P16" s="12"/>
      <c r="Q16" s="3" t="s">
        <v>59</v>
      </c>
      <c r="R16" s="3"/>
      <c r="S16" s="3"/>
      <c r="T16" s="3"/>
      <c r="U16" s="3"/>
      <c r="V16" s="3"/>
      <c r="W16" s="3"/>
      <c r="X16" s="12"/>
      <c r="Y16" s="3" t="s">
        <v>60</v>
      </c>
      <c r="Z16" s="7"/>
      <c r="AA16" s="7"/>
      <c r="AB16" s="7"/>
      <c r="AC16" s="7"/>
      <c r="AD16" s="7"/>
      <c r="AE16" s="7"/>
    </row>
    <row r="17" spans="1:31" ht="17.25" customHeight="1">
      <c r="A17" s="168">
        <f>'(Data)'!BG6</f>
        <v>0</v>
      </c>
      <c r="B17" s="168">
        <f>'(Data)'!BH6</f>
        <v>0</v>
      </c>
      <c r="C17" s="168" t="str">
        <f>'(Data)'!BI6</f>
        <v>.1</v>
      </c>
      <c r="D17" s="168" t="str">
        <f>'(Data)'!BJ6</f>
        <v>.2</v>
      </c>
      <c r="E17" s="168" t="str">
        <f>'(Data)'!BK6</f>
        <v>.3</v>
      </c>
      <c r="F17" s="168" t="str">
        <f>'(Data)'!BL6</f>
        <v>.4</v>
      </c>
      <c r="G17" s="168" t="str">
        <f>'(Data)'!BM6</f>
        <v>.5</v>
      </c>
      <c r="H17" s="2"/>
      <c r="I17" s="168">
        <f>'(Data)'!BG21</f>
        <v>0</v>
      </c>
      <c r="J17" s="168">
        <f>'(Data)'!BH21</f>
        <v>0</v>
      </c>
      <c r="K17" s="168">
        <f>'(Data)'!BI21</f>
        <v>0</v>
      </c>
      <c r="L17" s="168" t="str">
        <f>'(Data)'!BJ21</f>
        <v>.1</v>
      </c>
      <c r="M17" s="168" t="str">
        <f>'(Data)'!BK21</f>
        <v>.2</v>
      </c>
      <c r="N17" s="168" t="str">
        <f>'(Data)'!BL21</f>
        <v>.3</v>
      </c>
      <c r="O17" s="168" t="str">
        <f>'(Data)'!BM21</f>
        <v>.4</v>
      </c>
      <c r="P17" s="2"/>
      <c r="Q17" s="168">
        <f>'(Data)'!BG36</f>
        <v>0</v>
      </c>
      <c r="R17" s="168">
        <f>'(Data)'!BH36</f>
        <v>0</v>
      </c>
      <c r="S17" s="168">
        <f>'(Data)'!BI36</f>
        <v>0</v>
      </c>
      <c r="T17" s="168">
        <f>'(Data)'!BJ36</f>
        <v>0</v>
      </c>
      <c r="U17" s="168" t="str">
        <f>'(Data)'!BK36</f>
        <v>.1</v>
      </c>
      <c r="V17" s="168" t="str">
        <f>'(Data)'!BL36</f>
        <v>.2</v>
      </c>
      <c r="W17" s="168" t="str">
        <f>'(Data)'!BM36</f>
        <v>.3</v>
      </c>
      <c r="X17" s="2"/>
      <c r="Y17" s="168">
        <f>'(Data)'!BG51</f>
        <v>0</v>
      </c>
      <c r="Z17" s="168">
        <f>'(Data)'!BH51</f>
        <v>0</v>
      </c>
      <c r="AA17" s="168">
        <f>'(Data)'!BI51</f>
        <v>0</v>
      </c>
      <c r="AB17" s="168" t="str">
        <f>'(Data)'!BJ51</f>
        <v>.1</v>
      </c>
      <c r="AC17" s="168" t="str">
        <f>'(Data)'!BK51</f>
        <v>.2</v>
      </c>
      <c r="AD17" s="168" t="str">
        <f>'(Data)'!BL51</f>
        <v>.3</v>
      </c>
      <c r="AE17" s="168" t="str">
        <f>'(Data)'!BM51</f>
        <v>.4</v>
      </c>
    </row>
    <row r="18" spans="1:31" ht="17.25" customHeight="1">
      <c r="A18" s="168" t="str">
        <f>'(Data)'!BG7</f>
        <v>.6</v>
      </c>
      <c r="B18" s="168" t="str">
        <f>'(Data)'!BH7</f>
        <v>.7</v>
      </c>
      <c r="C18" s="168" t="str">
        <f>'(Data)'!BI7</f>
        <v>.8</v>
      </c>
      <c r="D18" s="168" t="str">
        <f>'(Data)'!BJ7</f>
        <v>.9</v>
      </c>
      <c r="E18" s="168" t="str">
        <f>'(Data)'!BK7</f>
        <v>.10</v>
      </c>
      <c r="F18" s="169" t="str">
        <f>'(Data)'!BL7</f>
        <v>.11</v>
      </c>
      <c r="G18" s="168" t="str">
        <f>'(Data)'!BM7</f>
        <v>.12</v>
      </c>
      <c r="H18" s="2"/>
      <c r="I18" s="168" t="str">
        <f>'(Data)'!BG22</f>
        <v>.5</v>
      </c>
      <c r="J18" s="168" t="str">
        <f>'(Data)'!BH22</f>
        <v>.6</v>
      </c>
      <c r="K18" s="168" t="str">
        <f>'(Data)'!BI22</f>
        <v>.7</v>
      </c>
      <c r="L18" s="168" t="str">
        <f>'(Data)'!BJ22</f>
        <v>.8</v>
      </c>
      <c r="M18" s="168" t="str">
        <f>'(Data)'!BK22</f>
        <v>.9</v>
      </c>
      <c r="N18" s="169" t="str">
        <f>'(Data)'!BL22</f>
        <v>.10</v>
      </c>
      <c r="O18" s="168" t="str">
        <f>'(Data)'!BM22</f>
        <v>.11</v>
      </c>
      <c r="P18" s="2"/>
      <c r="Q18" s="168" t="str">
        <f>'(Data)'!BG37</f>
        <v>.4</v>
      </c>
      <c r="R18" s="168" t="str">
        <f>'(Data)'!BH37</f>
        <v>.5</v>
      </c>
      <c r="S18" s="168" t="str">
        <f>'(Data)'!BI37</f>
        <v>.6</v>
      </c>
      <c r="T18" s="168" t="str">
        <f>'(Data)'!BJ37</f>
        <v>.7</v>
      </c>
      <c r="U18" s="168" t="str">
        <f>'(Data)'!BK37</f>
        <v>.8</v>
      </c>
      <c r="V18" s="169" t="str">
        <f>'(Data)'!BL37</f>
        <v>.9</v>
      </c>
      <c r="W18" s="168" t="str">
        <f>'(Data)'!BM37</f>
        <v>.10</v>
      </c>
      <c r="X18" s="2"/>
      <c r="Y18" s="168" t="str">
        <f>'(Data)'!BG52</f>
        <v>.5</v>
      </c>
      <c r="Z18" s="168" t="str">
        <f>'(Data)'!BH52</f>
        <v>.6</v>
      </c>
      <c r="AA18" s="168" t="str">
        <f>'(Data)'!BI52</f>
        <v>.7</v>
      </c>
      <c r="AB18" s="168" t="str">
        <f>'(Data)'!BJ52</f>
        <v>.8</v>
      </c>
      <c r="AC18" s="168" t="str">
        <f>'(Data)'!BK52</f>
        <v>.9</v>
      </c>
      <c r="AD18" s="169" t="str">
        <f>'(Data)'!BL52</f>
        <v>.10</v>
      </c>
      <c r="AE18" s="168" t="str">
        <f>'(Data)'!BM52</f>
        <v>.11</v>
      </c>
    </row>
    <row r="19" spans="1:31" ht="17.25" customHeight="1">
      <c r="A19" s="168" t="str">
        <f>'(Data)'!BG8</f>
        <v>.13</v>
      </c>
      <c r="B19" s="170" t="str">
        <f>'(Data)'!BH8</f>
        <v>.14</v>
      </c>
      <c r="C19" s="168" t="str">
        <f>'(Data)'!BI8</f>
        <v>.15</v>
      </c>
      <c r="D19" s="168" t="str">
        <f>'(Data)'!BJ8</f>
        <v>.16</v>
      </c>
      <c r="E19" s="168" t="str">
        <f>'(Data)'!BK8</f>
        <v>.17</v>
      </c>
      <c r="F19" s="168" t="str">
        <f>'(Data)'!BL8</f>
        <v>.18</v>
      </c>
      <c r="G19" s="168" t="str">
        <f>'(Data)'!BM8</f>
        <v>.19</v>
      </c>
      <c r="H19" s="2"/>
      <c r="I19" s="168" t="str">
        <f>'(Data)'!BG23</f>
        <v>.12</v>
      </c>
      <c r="J19" s="170" t="str">
        <f>'(Data)'!BH23</f>
        <v>.13</v>
      </c>
      <c r="K19" s="168" t="str">
        <f>'(Data)'!BI23</f>
        <v>.14</v>
      </c>
      <c r="L19" s="168" t="str">
        <f>'(Data)'!BJ23</f>
        <v>.15</v>
      </c>
      <c r="M19" s="168" t="str">
        <f>'(Data)'!BK23</f>
        <v>.16</v>
      </c>
      <c r="N19" s="168" t="str">
        <f>'(Data)'!BL23</f>
        <v>.17</v>
      </c>
      <c r="O19" s="168" t="str">
        <f>'(Data)'!BM23</f>
        <v>.18</v>
      </c>
      <c r="P19" s="2"/>
      <c r="Q19" s="168" t="str">
        <f>'(Data)'!BG38</f>
        <v>.11</v>
      </c>
      <c r="R19" s="170" t="str">
        <f>'(Data)'!BH38</f>
        <v>.12</v>
      </c>
      <c r="S19" s="168" t="str">
        <f>'(Data)'!BI38</f>
        <v>.13</v>
      </c>
      <c r="T19" s="168" t="str">
        <f>'(Data)'!BJ38</f>
        <v>.14</v>
      </c>
      <c r="U19" s="168" t="str">
        <f>'(Data)'!BK38</f>
        <v>.15</v>
      </c>
      <c r="V19" s="168" t="str">
        <f>'(Data)'!BL38</f>
        <v>.16</v>
      </c>
      <c r="W19" s="168" t="str">
        <f>'(Data)'!BM38</f>
        <v>.17</v>
      </c>
      <c r="X19" s="2"/>
      <c r="Y19" s="168" t="str">
        <f>'(Data)'!BG53</f>
        <v>.12</v>
      </c>
      <c r="Z19" s="170" t="str">
        <f>'(Data)'!BH53</f>
        <v>.13</v>
      </c>
      <c r="AA19" s="168" t="str">
        <f>'(Data)'!BI53</f>
        <v>.14</v>
      </c>
      <c r="AB19" s="168" t="str">
        <f>'(Data)'!BJ53</f>
        <v>.15</v>
      </c>
      <c r="AC19" s="168" t="str">
        <f>'(Data)'!BK53</f>
        <v>.16</v>
      </c>
      <c r="AD19" s="168" t="str">
        <f>'(Data)'!BL53</f>
        <v>.17</v>
      </c>
      <c r="AE19" s="168" t="str">
        <f>'(Data)'!BM53</f>
        <v>.18</v>
      </c>
    </row>
    <row r="20" spans="1:31" ht="17.25" customHeight="1">
      <c r="A20" s="168" t="str">
        <f>'(Data)'!BG9</f>
        <v>.20</v>
      </c>
      <c r="B20" s="168" t="str">
        <f>'(Data)'!BH9</f>
        <v>.21</v>
      </c>
      <c r="C20" s="168" t="str">
        <f>'(Data)'!BI9</f>
        <v>.22</v>
      </c>
      <c r="D20" s="170" t="str">
        <f>'(Data)'!BJ9</f>
        <v>.23</v>
      </c>
      <c r="E20" s="168" t="str">
        <f>'(Data)'!BK9</f>
        <v>.24</v>
      </c>
      <c r="F20" s="168" t="str">
        <f>'(Data)'!BL9</f>
        <v>.25</v>
      </c>
      <c r="G20" s="168" t="str">
        <f>'(Data)'!BM9</f>
        <v>.26</v>
      </c>
      <c r="H20" s="2"/>
      <c r="I20" s="168" t="str">
        <f>'(Data)'!BG24</f>
        <v>.19</v>
      </c>
      <c r="J20" s="168" t="str">
        <f>'(Data)'!BH24</f>
        <v>.20</v>
      </c>
      <c r="K20" s="168" t="str">
        <f>'(Data)'!BI24</f>
        <v>.21</v>
      </c>
      <c r="L20" s="170" t="str">
        <f>'(Data)'!BJ24</f>
        <v>.22</v>
      </c>
      <c r="M20" s="168" t="str">
        <f>'(Data)'!BK24</f>
        <v>.23</v>
      </c>
      <c r="N20" s="168" t="str">
        <f>'(Data)'!BL24</f>
        <v>.24</v>
      </c>
      <c r="O20" s="168" t="str">
        <f>'(Data)'!BM24</f>
        <v>.25</v>
      </c>
      <c r="P20" s="2"/>
      <c r="Q20" s="168" t="str">
        <f>'(Data)'!BG39</f>
        <v>.18</v>
      </c>
      <c r="R20" s="168" t="str">
        <f>'(Data)'!BH39</f>
        <v>.19</v>
      </c>
      <c r="S20" s="168" t="str">
        <f>'(Data)'!BI39</f>
        <v>.20</v>
      </c>
      <c r="T20" s="170" t="str">
        <f>'(Data)'!BJ39</f>
        <v>.21</v>
      </c>
      <c r="U20" s="168" t="str">
        <f>'(Data)'!BK39</f>
        <v>.22</v>
      </c>
      <c r="V20" s="168" t="str">
        <f>'(Data)'!BL39</f>
        <v>.23</v>
      </c>
      <c r="W20" s="168" t="str">
        <f>'(Data)'!BM39</f>
        <v>.24</v>
      </c>
      <c r="X20" s="2"/>
      <c r="Y20" s="168" t="str">
        <f>'(Data)'!BG54</f>
        <v>.19</v>
      </c>
      <c r="Z20" s="168" t="str">
        <f>'(Data)'!BH54</f>
        <v>.20</v>
      </c>
      <c r="AA20" s="168" t="str">
        <f>'(Data)'!BI54</f>
        <v>.21</v>
      </c>
      <c r="AB20" s="170" t="str">
        <f>'(Data)'!BJ54</f>
        <v>.22</v>
      </c>
      <c r="AC20" s="168" t="str">
        <f>'(Data)'!BK54</f>
        <v>.23</v>
      </c>
      <c r="AD20" s="168" t="str">
        <f>'(Data)'!BL54</f>
        <v>.24</v>
      </c>
      <c r="AE20" s="168" t="str">
        <f>'(Data)'!BM54</f>
        <v>.25</v>
      </c>
    </row>
    <row r="21" spans="1:31" ht="17.25" customHeight="1">
      <c r="A21" s="168" t="str">
        <f>'(Data)'!BG10</f>
        <v>.27</v>
      </c>
      <c r="B21" s="171" t="str">
        <f>'(Data)'!BH10</f>
        <v>.28</v>
      </c>
      <c r="C21" s="168" t="str">
        <f>'(Data)'!BI10</f>
        <v>.29</v>
      </c>
      <c r="D21" s="168" t="str">
        <f>'(Data)'!BJ10</f>
        <v>.30</v>
      </c>
      <c r="E21" s="168" t="str">
        <f>'(Data)'!BK10</f>
        <v>.31</v>
      </c>
      <c r="F21" s="168">
        <f>'(Data)'!BL10</f>
        <v>0</v>
      </c>
      <c r="G21" s="168">
        <f>'(Data)'!BM10</f>
        <v>0</v>
      </c>
      <c r="H21" s="2"/>
      <c r="I21" s="168" t="str">
        <f>'(Data)'!BG25</f>
        <v>.26</v>
      </c>
      <c r="J21" s="171" t="str">
        <f>'(Data)'!BH25</f>
        <v>.27</v>
      </c>
      <c r="K21" s="168" t="str">
        <f>'(Data)'!BI25</f>
        <v>.28</v>
      </c>
      <c r="L21" s="168" t="str">
        <f>'(Data)'!BJ25</f>
        <v>.29</v>
      </c>
      <c r="M21" s="168" t="str">
        <f>'(Data)'!BK25</f>
        <v>.30</v>
      </c>
      <c r="N21" s="168">
        <f>'(Data)'!BL25</f>
        <v>0</v>
      </c>
      <c r="O21" s="168">
        <f>'(Data)'!BM25</f>
        <v>0</v>
      </c>
      <c r="P21" s="2"/>
      <c r="Q21" s="168" t="str">
        <f>'(Data)'!BG40</f>
        <v>.25</v>
      </c>
      <c r="R21" s="171" t="str">
        <f>'(Data)'!BH40</f>
        <v>.26</v>
      </c>
      <c r="S21" s="168" t="str">
        <f>'(Data)'!BI40</f>
        <v>.27</v>
      </c>
      <c r="T21" s="168" t="str">
        <f>'(Data)'!BJ40</f>
        <v>.28</v>
      </c>
      <c r="U21" s="168" t="str">
        <f>'(Data)'!BK40</f>
        <v>.29</v>
      </c>
      <c r="V21" s="168">
        <f>'(Data)'!BL40</f>
        <v>0</v>
      </c>
      <c r="W21" s="168">
        <f>'(Data)'!BM40</f>
        <v>0</v>
      </c>
      <c r="X21" s="2"/>
      <c r="Y21" s="168" t="str">
        <f>'(Data)'!BG55</f>
        <v>.26</v>
      </c>
      <c r="Z21" s="171" t="str">
        <f>'(Data)'!BH55</f>
        <v>.27</v>
      </c>
      <c r="AA21" s="168" t="str">
        <f>'(Data)'!BI55</f>
        <v>.28</v>
      </c>
      <c r="AB21" s="168" t="str">
        <f>'(Data)'!BJ55</f>
        <v>.29</v>
      </c>
      <c r="AC21" s="168" t="str">
        <f>'(Data)'!BK55</f>
        <v>.30</v>
      </c>
      <c r="AD21" s="168" t="str">
        <f>'(Data)'!BL55</f>
        <v>.31</v>
      </c>
      <c r="AE21" s="168">
        <f>'(Data)'!BM55</f>
        <v>0</v>
      </c>
    </row>
    <row r="22" ht="12.75">
      <c r="AF22" s="2"/>
    </row>
    <row r="23" spans="1:32" ht="17.25" customHeight="1">
      <c r="A23" s="12" t="s">
        <v>61</v>
      </c>
      <c r="B23" s="12"/>
      <c r="C23" s="12"/>
      <c r="D23" s="12"/>
      <c r="E23" s="12"/>
      <c r="F23" s="12"/>
      <c r="G23" s="12"/>
      <c r="H23" s="12"/>
      <c r="I23" s="12" t="s">
        <v>62</v>
      </c>
      <c r="J23" s="12"/>
      <c r="K23" s="12"/>
      <c r="L23" s="12"/>
      <c r="M23" s="12"/>
      <c r="N23" s="12"/>
      <c r="O23" s="12"/>
      <c r="P23" s="12"/>
      <c r="Q23" s="12" t="s">
        <v>63</v>
      </c>
      <c r="R23" s="12"/>
      <c r="S23" s="12"/>
      <c r="T23" s="12"/>
      <c r="U23" s="12"/>
      <c r="V23" s="12"/>
      <c r="W23" s="12"/>
      <c r="X23" s="12"/>
      <c r="Y23" s="12" t="s">
        <v>64</v>
      </c>
      <c r="Z23" s="6"/>
      <c r="AA23" s="6"/>
      <c r="AB23" s="6"/>
      <c r="AC23" s="6"/>
      <c r="AD23" s="6"/>
      <c r="AE23" s="6"/>
      <c r="AF23" s="2"/>
    </row>
    <row r="24" spans="1:31" ht="17.25" customHeight="1">
      <c r="A24" s="168">
        <f>'(Data)'!BG11</f>
        <v>0</v>
      </c>
      <c r="B24" s="168">
        <f>'(Data)'!BH11</f>
        <v>0</v>
      </c>
      <c r="C24" s="168">
        <f>'(Data)'!BI11</f>
        <v>0</v>
      </c>
      <c r="D24" s="168">
        <f>'(Data)'!BJ11</f>
        <v>0</v>
      </c>
      <c r="E24" s="168">
        <f>'(Data)'!BK11</f>
        <v>0</v>
      </c>
      <c r="F24" s="168" t="str">
        <f>'(Data)'!BL11</f>
        <v>.1</v>
      </c>
      <c r="G24" s="168" t="str">
        <f>'(Data)'!BM11</f>
        <v>.2</v>
      </c>
      <c r="H24" s="2"/>
      <c r="I24" s="168" t="str">
        <f>'(Data)'!BG26</f>
        <v>.31</v>
      </c>
      <c r="J24" s="168">
        <f>'(Data)'!BH26</f>
        <v>0</v>
      </c>
      <c r="K24" s="168">
        <f>'(Data)'!BI26</f>
        <v>0</v>
      </c>
      <c r="L24" s="168">
        <f>'(Data)'!BJ26</f>
        <v>0</v>
      </c>
      <c r="M24" s="168">
        <f>'(Data)'!BK26</f>
        <v>0</v>
      </c>
      <c r="N24" s="168" t="str">
        <f>'(Data)'!BL26</f>
        <v>.1</v>
      </c>
      <c r="O24" s="168" t="str">
        <f>'(Data)'!BM26</f>
        <v>.2</v>
      </c>
      <c r="P24" s="2"/>
      <c r="Q24" s="168" t="str">
        <f>'(Data)'!BG41</f>
        <v>.31</v>
      </c>
      <c r="R24" s="168">
        <f>'(Data)'!BH41</f>
        <v>0</v>
      </c>
      <c r="S24" s="168">
        <f>'(Data)'!BI41</f>
        <v>0</v>
      </c>
      <c r="T24" s="168">
        <f>'(Data)'!BJ41</f>
        <v>0</v>
      </c>
      <c r="U24" s="168">
        <f>'(Data)'!BK41</f>
        <v>0</v>
      </c>
      <c r="V24" s="168" t="str">
        <f>'(Data)'!BL41</f>
        <v>.1</v>
      </c>
      <c r="W24" s="168" t="str">
        <f>'(Data)'!BM41</f>
        <v>.2</v>
      </c>
      <c r="X24" s="2"/>
      <c r="Y24" s="168" t="str">
        <f>'(Data)'!BG56</f>
        <v>.30</v>
      </c>
      <c r="Z24" s="168">
        <f>'(Data)'!BH56</f>
        <v>0</v>
      </c>
      <c r="AA24" s="168">
        <f>'(Data)'!BI56</f>
        <v>0</v>
      </c>
      <c r="AB24" s="168">
        <f>'(Data)'!BJ56</f>
        <v>0</v>
      </c>
      <c r="AC24" s="168">
        <f>'(Data)'!BK56</f>
        <v>0</v>
      </c>
      <c r="AD24" s="168">
        <f>'(Data)'!BL56</f>
        <v>0</v>
      </c>
      <c r="AE24" s="168" t="str">
        <f>'(Data)'!BM56</f>
        <v>.1</v>
      </c>
    </row>
    <row r="25" spans="1:31" ht="17.25" customHeight="1">
      <c r="A25" s="168" t="str">
        <f>'(Data)'!BG12</f>
        <v>.3</v>
      </c>
      <c r="B25" s="168" t="str">
        <f>'(Data)'!BH12</f>
        <v>.4</v>
      </c>
      <c r="C25" s="168" t="str">
        <f>'(Data)'!BI12</f>
        <v>.5</v>
      </c>
      <c r="D25" s="168" t="str">
        <f>'(Data)'!BJ12</f>
        <v>.6</v>
      </c>
      <c r="E25" s="168" t="str">
        <f>'(Data)'!BK12</f>
        <v>.7</v>
      </c>
      <c r="F25" s="169" t="str">
        <f>'(Data)'!BL12</f>
        <v>.8</v>
      </c>
      <c r="G25" s="168" t="str">
        <f>'(Data)'!BM12</f>
        <v>.9</v>
      </c>
      <c r="H25" s="2"/>
      <c r="I25" s="168" t="str">
        <f>'(Data)'!BG27</f>
        <v>.3</v>
      </c>
      <c r="J25" s="168" t="str">
        <f>'(Data)'!BH27</f>
        <v>.4</v>
      </c>
      <c r="K25" s="168" t="str">
        <f>'(Data)'!BI27</f>
        <v>.5</v>
      </c>
      <c r="L25" s="168" t="str">
        <f>'(Data)'!BJ27</f>
        <v>.6</v>
      </c>
      <c r="M25" s="168" t="str">
        <f>'(Data)'!BK27</f>
        <v>.7</v>
      </c>
      <c r="N25" s="169" t="str">
        <f>'(Data)'!BL27</f>
        <v>.8</v>
      </c>
      <c r="O25" s="168" t="str">
        <f>'(Data)'!BM27</f>
        <v>.9</v>
      </c>
      <c r="P25" s="2"/>
      <c r="Q25" s="168" t="str">
        <f>'(Data)'!BG42</f>
        <v>.3</v>
      </c>
      <c r="R25" s="168" t="str">
        <f>'(Data)'!BH42</f>
        <v>.4</v>
      </c>
      <c r="S25" s="168" t="str">
        <f>'(Data)'!BI42</f>
        <v>.5</v>
      </c>
      <c r="T25" s="168" t="str">
        <f>'(Data)'!BJ42</f>
        <v>.6</v>
      </c>
      <c r="U25" s="168" t="str">
        <f>'(Data)'!BK42</f>
        <v>.7</v>
      </c>
      <c r="V25" s="169" t="str">
        <f>'(Data)'!BL42</f>
        <v>.8</v>
      </c>
      <c r="W25" s="168" t="str">
        <f>'(Data)'!BM42</f>
        <v>.9</v>
      </c>
      <c r="X25" s="2"/>
      <c r="Y25" s="168" t="str">
        <f>'(Data)'!BG57</f>
        <v>.2</v>
      </c>
      <c r="Z25" s="168" t="str">
        <f>'(Data)'!BH57</f>
        <v>.3</v>
      </c>
      <c r="AA25" s="168" t="str">
        <f>'(Data)'!BI57</f>
        <v>.4</v>
      </c>
      <c r="AB25" s="168" t="str">
        <f>'(Data)'!BJ57</f>
        <v>.5</v>
      </c>
      <c r="AC25" s="168" t="str">
        <f>'(Data)'!BK57</f>
        <v>.6</v>
      </c>
      <c r="AD25" s="169" t="str">
        <f>'(Data)'!BL57</f>
        <v>.7</v>
      </c>
      <c r="AE25" s="168" t="str">
        <f>'(Data)'!BM57</f>
        <v>.8</v>
      </c>
    </row>
    <row r="26" spans="1:31" ht="17.25" customHeight="1">
      <c r="A26" s="168" t="str">
        <f>'(Data)'!BG13</f>
        <v>.10</v>
      </c>
      <c r="B26" s="170" t="str">
        <f>'(Data)'!BH13</f>
        <v>.11</v>
      </c>
      <c r="C26" s="168" t="str">
        <f>'(Data)'!BI13</f>
        <v>.12</v>
      </c>
      <c r="D26" s="168" t="str">
        <f>'(Data)'!BJ13</f>
        <v>.13</v>
      </c>
      <c r="E26" s="168" t="str">
        <f>'(Data)'!BK13</f>
        <v>.14</v>
      </c>
      <c r="F26" s="168" t="str">
        <f>'(Data)'!BL13</f>
        <v>.15</v>
      </c>
      <c r="G26" s="168" t="str">
        <f>'(Data)'!BM13</f>
        <v>.16</v>
      </c>
      <c r="H26" s="2"/>
      <c r="I26" s="168" t="str">
        <f>'(Data)'!BG28</f>
        <v>.10</v>
      </c>
      <c r="J26" s="170" t="str">
        <f>'(Data)'!BH28</f>
        <v>.11</v>
      </c>
      <c r="K26" s="168" t="str">
        <f>'(Data)'!BI28</f>
        <v>.12</v>
      </c>
      <c r="L26" s="168" t="str">
        <f>'(Data)'!BJ28</f>
        <v>.13</v>
      </c>
      <c r="M26" s="168" t="str">
        <f>'(Data)'!BK28</f>
        <v>.14</v>
      </c>
      <c r="N26" s="168" t="str">
        <f>'(Data)'!BL28</f>
        <v>.15</v>
      </c>
      <c r="O26" s="168" t="str">
        <f>'(Data)'!BM28</f>
        <v>.16</v>
      </c>
      <c r="P26" s="2"/>
      <c r="Q26" s="168" t="str">
        <f>'(Data)'!BG43</f>
        <v>.10</v>
      </c>
      <c r="R26" s="170" t="str">
        <f>'(Data)'!BH43</f>
        <v>.11</v>
      </c>
      <c r="S26" s="168" t="str">
        <f>'(Data)'!BI43</f>
        <v>.12</v>
      </c>
      <c r="T26" s="168" t="str">
        <f>'(Data)'!BJ43</f>
        <v>.13</v>
      </c>
      <c r="U26" s="168" t="str">
        <f>'(Data)'!BK43</f>
        <v>.14</v>
      </c>
      <c r="V26" s="168" t="str">
        <f>'(Data)'!BL43</f>
        <v>.15</v>
      </c>
      <c r="W26" s="168" t="str">
        <f>'(Data)'!BM43</f>
        <v>.16</v>
      </c>
      <c r="X26" s="2"/>
      <c r="Y26" s="168" t="str">
        <f>'(Data)'!BG58</f>
        <v>.9</v>
      </c>
      <c r="Z26" s="170" t="str">
        <f>'(Data)'!BH58</f>
        <v>.10</v>
      </c>
      <c r="AA26" s="168" t="str">
        <f>'(Data)'!BI58</f>
        <v>.11</v>
      </c>
      <c r="AB26" s="168" t="str">
        <f>'(Data)'!BJ58</f>
        <v>.12</v>
      </c>
      <c r="AC26" s="168" t="str">
        <f>'(Data)'!BK58</f>
        <v>.13</v>
      </c>
      <c r="AD26" s="168" t="str">
        <f>'(Data)'!BL58</f>
        <v>.14</v>
      </c>
      <c r="AE26" s="168" t="str">
        <f>'(Data)'!BM58</f>
        <v>.15</v>
      </c>
    </row>
    <row r="27" spans="1:31" ht="17.25" customHeight="1">
      <c r="A27" s="168" t="str">
        <f>'(Data)'!BG14</f>
        <v>.17</v>
      </c>
      <c r="B27" s="168" t="str">
        <f>'(Data)'!BH14</f>
        <v>.18</v>
      </c>
      <c r="C27" s="168" t="str">
        <f>'(Data)'!BI14</f>
        <v>.19</v>
      </c>
      <c r="D27" s="170" t="str">
        <f>'(Data)'!BJ14</f>
        <v>.20</v>
      </c>
      <c r="E27" s="168" t="str">
        <f>'(Data)'!BK14</f>
        <v>.21</v>
      </c>
      <c r="F27" s="168" t="str">
        <f>'(Data)'!BL14</f>
        <v>.22</v>
      </c>
      <c r="G27" s="168" t="str">
        <f>'(Data)'!BM14</f>
        <v>.23</v>
      </c>
      <c r="H27" s="2"/>
      <c r="I27" s="168" t="str">
        <f>'(Data)'!BG29</f>
        <v>.17</v>
      </c>
      <c r="J27" s="168" t="str">
        <f>'(Data)'!BH29</f>
        <v>.18</v>
      </c>
      <c r="K27" s="168" t="str">
        <f>'(Data)'!BI29</f>
        <v>.19</v>
      </c>
      <c r="L27" s="170" t="str">
        <f>'(Data)'!BJ29</f>
        <v>.20</v>
      </c>
      <c r="M27" s="168" t="str">
        <f>'(Data)'!BK29</f>
        <v>.21</v>
      </c>
      <c r="N27" s="168" t="str">
        <f>'(Data)'!BL29</f>
        <v>.22</v>
      </c>
      <c r="O27" s="168" t="str">
        <f>'(Data)'!BM29</f>
        <v>.23</v>
      </c>
      <c r="P27" s="2"/>
      <c r="Q27" s="168" t="str">
        <f>'(Data)'!BG44</f>
        <v>.17</v>
      </c>
      <c r="R27" s="168" t="str">
        <f>'(Data)'!BH44</f>
        <v>.18</v>
      </c>
      <c r="S27" s="168" t="str">
        <f>'(Data)'!BI44</f>
        <v>.19</v>
      </c>
      <c r="T27" s="170" t="str">
        <f>'(Data)'!BJ44</f>
        <v>.20</v>
      </c>
      <c r="U27" s="168" t="str">
        <f>'(Data)'!BK44</f>
        <v>.21</v>
      </c>
      <c r="V27" s="168" t="str">
        <f>'(Data)'!BL44</f>
        <v>.22</v>
      </c>
      <c r="W27" s="168" t="str">
        <f>'(Data)'!BM44</f>
        <v>.23</v>
      </c>
      <c r="X27" s="2"/>
      <c r="Y27" s="168" t="str">
        <f>'(Data)'!BG59</f>
        <v>.16</v>
      </c>
      <c r="Z27" s="168" t="str">
        <f>'(Data)'!BH59</f>
        <v>.17</v>
      </c>
      <c r="AA27" s="168" t="str">
        <f>'(Data)'!BI59</f>
        <v>.18</v>
      </c>
      <c r="AB27" s="170" t="str">
        <f>'(Data)'!BJ59</f>
        <v>.19</v>
      </c>
      <c r="AC27" s="168" t="str">
        <f>'(Data)'!BK59</f>
        <v>.20</v>
      </c>
      <c r="AD27" s="168" t="str">
        <f>'(Data)'!BL59</f>
        <v>.21</v>
      </c>
      <c r="AE27" s="168" t="str">
        <f>'(Data)'!BM59</f>
        <v>.22</v>
      </c>
    </row>
    <row r="28" spans="1:31" ht="17.25" customHeight="1">
      <c r="A28" s="168" t="str">
        <f>'(Data)'!BG15</f>
        <v>.24</v>
      </c>
      <c r="B28" s="171" t="str">
        <f>'(Data)'!BH15</f>
        <v>.25</v>
      </c>
      <c r="C28" s="168" t="str">
        <f>'(Data)'!BI15</f>
        <v>.26</v>
      </c>
      <c r="D28" s="168" t="str">
        <f>'(Data)'!BJ15</f>
        <v>.27</v>
      </c>
      <c r="E28" s="168" t="str">
        <f>'(Data)'!BK15</f>
        <v>.28</v>
      </c>
      <c r="F28" s="168" t="str">
        <f>'(Data)'!BL15</f>
        <v>.29</v>
      </c>
      <c r="G28" s="168" t="str">
        <f>'(Data)'!BM15</f>
        <v>.30</v>
      </c>
      <c r="H28" s="2"/>
      <c r="I28" s="168" t="str">
        <f>'(Data)'!BG30</f>
        <v>.24</v>
      </c>
      <c r="J28" s="171" t="str">
        <f>'(Data)'!BH30</f>
        <v>.25</v>
      </c>
      <c r="K28" s="168" t="str">
        <f>'(Data)'!BI30</f>
        <v>.26</v>
      </c>
      <c r="L28" s="168" t="str">
        <f>'(Data)'!BJ30</f>
        <v>.27</v>
      </c>
      <c r="M28" s="168" t="str">
        <f>'(Data)'!BK30</f>
        <v>.28</v>
      </c>
      <c r="N28" s="168" t="str">
        <f>'(Data)'!BL30</f>
        <v>.29</v>
      </c>
      <c r="O28" s="168" t="str">
        <f>'(Data)'!BM30</f>
        <v>.30</v>
      </c>
      <c r="P28" s="2"/>
      <c r="Q28" s="168" t="str">
        <f>'(Data)'!BG45</f>
        <v>.24</v>
      </c>
      <c r="R28" s="171" t="str">
        <f>'(Data)'!BH45</f>
        <v>.25</v>
      </c>
      <c r="S28" s="168" t="str">
        <f>'(Data)'!BI45</f>
        <v>.26</v>
      </c>
      <c r="T28" s="168" t="str">
        <f>'(Data)'!BJ45</f>
        <v>.27</v>
      </c>
      <c r="U28" s="168" t="str">
        <f>'(Data)'!BK45</f>
        <v>.28</v>
      </c>
      <c r="V28" s="168" t="str">
        <f>'(Data)'!BL45</f>
        <v>.29</v>
      </c>
      <c r="W28" s="168" t="str">
        <f>'(Data)'!BM45</f>
        <v>.30</v>
      </c>
      <c r="X28" s="2"/>
      <c r="Y28" s="168" t="str">
        <f>'(Data)'!BG60</f>
        <v>.23</v>
      </c>
      <c r="Z28" s="171" t="str">
        <f>'(Data)'!BH60</f>
        <v>.24</v>
      </c>
      <c r="AA28" s="168" t="str">
        <f>'(Data)'!BI60</f>
        <v>.25</v>
      </c>
      <c r="AB28" s="168" t="str">
        <f>'(Data)'!BJ60</f>
        <v>.26</v>
      </c>
      <c r="AC28" s="168" t="str">
        <f>'(Data)'!BK60</f>
        <v>.27</v>
      </c>
      <c r="AD28" s="168" t="str">
        <f>'(Data)'!BL60</f>
        <v>.28</v>
      </c>
      <c r="AE28" s="168" t="str">
        <f>'(Data)'!BM60</f>
        <v>.29</v>
      </c>
    </row>
    <row r="29" spans="1:31"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s="212" customFormat="1" ht="15.75">
      <c r="A30" s="211" t="s">
        <v>227</v>
      </c>
      <c r="B30" s="211"/>
      <c r="C30" s="211"/>
      <c r="F30" s="891">
        <f>COUNTIF(A10:G14,"&gt;0")+COUNTIF(A17:G21,"&gt;0")+COUNTIF(A24:G28,"&gt;0")+COUNTIF(A10:G14,"&gt;'&lt;'")+COUNTIF(A17:G21,"&gt;'&lt;'")+COUNTIF(A24:G28,"&gt;'&lt;'")-COUNTIF(A10:G14,"&gt;a")-COUNTIF(A17:G21,"&gt;a")-COUNTIF(A24:G28,"&gt;a")</f>
        <v>0</v>
      </c>
      <c r="G30" s="891"/>
      <c r="H30" s="213"/>
      <c r="I30" s="211" t="s">
        <v>226</v>
      </c>
      <c r="J30" s="211"/>
      <c r="K30" s="211"/>
      <c r="N30" s="891">
        <f>COUNTIF(I10:O14,"&gt;0")+COUNTIF(I17:O21,"&gt;0")+COUNTIF(I24:O28,"&gt;0")+COUNTIF(I10:O14,"&gt;'&lt;'")+COUNTIF(I17:O21,"&gt;'&lt;'")+COUNTIF(I24:O28,"&gt;'&lt;'")-COUNTIF(I10:O14,"&gt;a")-COUNTIF(I17:O21,"&gt;a")-COUNTIF(I24:O28,"&gt;a")</f>
        <v>0</v>
      </c>
      <c r="O30" s="891"/>
      <c r="P30" s="213"/>
      <c r="Q30" s="211" t="s">
        <v>228</v>
      </c>
      <c r="R30" s="211"/>
      <c r="S30" s="211"/>
      <c r="V30" s="891">
        <f>COUNTIF(Q10:W14,"&gt;0")+COUNTIF(Q17:W21,"&gt;0")+COUNTIF(Q24:W28,"&gt;0")+COUNTIF(Q10:W14,"&gt;'&lt;'")+COUNTIF(Q17:W21,"&gt;'&lt;'")+COUNTIF(Q24:W28,"&gt;'&lt;'")-COUNTIF(Q10:W14,"&gt;a")-COUNTIF(Q17:W21,"&gt;a")-COUNTIF(Q24:W28,"&gt;a")</f>
        <v>0</v>
      </c>
      <c r="W30" s="891"/>
      <c r="X30" s="213"/>
      <c r="Y30" s="211" t="s">
        <v>229</v>
      </c>
      <c r="Z30" s="211"/>
      <c r="AA30" s="211"/>
      <c r="AD30" s="891">
        <f>COUNTIF(Y10:AE14,"&gt;0")+COUNTIF(Y17:AE21,"&gt;0")+COUNTIF(Y24:AE28,"&gt;0")+COUNTIF(Y10:AE14,"&gt;'&lt;'")+COUNTIF(Y17:AE21,"&gt;'&lt;'")+COUNTIF(Y24:AE28,"&gt;'&lt;'")-COUNTIF(Y10:AE14,"&gt;a")-COUNTIF(Y17:AE21,"&gt;a")-COUNTIF(Y24:AE28,"&gt;a")</f>
        <v>0</v>
      </c>
      <c r="AE30" s="891"/>
    </row>
    <row r="31" spans="1:31"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s="167" customFormat="1" ht="12.75">
      <c r="A32" s="4" t="s">
        <v>225</v>
      </c>
      <c r="B32" s="4"/>
      <c r="C32" s="4"/>
      <c r="D32" s="225" t="s">
        <v>230</v>
      </c>
      <c r="E32" s="4"/>
      <c r="F32" s="4"/>
      <c r="G32" s="4"/>
      <c r="H32" s="4"/>
      <c r="J32" s="176" t="s">
        <v>267</v>
      </c>
      <c r="K32" s="4"/>
      <c r="L32" s="4"/>
      <c r="M32" s="4"/>
      <c r="N32" s="228"/>
      <c r="P32" s="4"/>
      <c r="Q32" s="4"/>
      <c r="S32" s="4"/>
      <c r="V32" s="176" t="s">
        <v>231</v>
      </c>
      <c r="X32" s="4"/>
      <c r="Z32" s="176" t="s">
        <v>253</v>
      </c>
      <c r="AB32" s="4"/>
      <c r="AC32" s="4"/>
      <c r="AD32" s="4"/>
      <c r="AE32" s="4"/>
    </row>
  </sheetData>
  <sheetProtection password="860F" sheet="1" selectLockedCells="1"/>
  <mergeCells count="16">
    <mergeCell ref="AD30:AE30"/>
    <mergeCell ref="F3:P3"/>
    <mergeCell ref="F30:G30"/>
    <mergeCell ref="N30:O30"/>
    <mergeCell ref="V30:W30"/>
    <mergeCell ref="F5:P5"/>
    <mergeCell ref="A2:AE2"/>
    <mergeCell ref="A16:B16"/>
    <mergeCell ref="Q7:W7"/>
    <mergeCell ref="A9:B9"/>
    <mergeCell ref="Y7:AE7"/>
    <mergeCell ref="A7:G7"/>
    <mergeCell ref="I7:O7"/>
    <mergeCell ref="AB3:AE3"/>
    <mergeCell ref="A3:D3"/>
    <mergeCell ref="AB5:AE5"/>
  </mergeCells>
  <conditionalFormatting sqref="A10:G14 A17:G21 A24:G28 I10:O14 I17:O21 I24:O28 Q10:W14 Q17:W21 Q24:W28 Y10:AE14 Y17:AE21 Y24:AE28">
    <cfRule type="cellIs" priority="1" dxfId="1" operator="between" stopIfTrue="1">
      <formula>"a"</formula>
      <formula>"Z"</formula>
    </cfRule>
    <cfRule type="cellIs" priority="2" dxfId="0" operator="between" stopIfTrue="1">
      <formula>"""{"""</formula>
      <formula>"{Z"</formula>
    </cfRule>
  </conditionalFormatting>
  <printOptions/>
  <pageMargins left="0.45" right="0.25" top="0" bottom="0" header="0" footer="0"/>
  <pageSetup fitToHeight="1" fitToWidth="1" horizontalDpi="600" verticalDpi="600" orientation="landscape" r:id="rId1"/>
  <headerFooter alignWithMargins="0">
    <oddFooter>&amp;LNSES Budget Template - Approved&amp;C01/2023&amp;REducation Calendar</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AF32"/>
  <sheetViews>
    <sheetView showGridLines="0" showZeros="0" zoomScalePageLayoutView="0" workbookViewId="0" topLeftCell="A1">
      <selection activeCell="AB3" sqref="AB3:AE3"/>
    </sheetView>
  </sheetViews>
  <sheetFormatPr defaultColWidth="9.140625" defaultRowHeight="12.75"/>
  <cols>
    <col min="1" max="2" width="3.7109375" style="0" customWidth="1"/>
    <col min="3" max="3" width="4.00390625" style="0" customWidth="1"/>
    <col min="4" max="7" width="3.7109375" style="0" customWidth="1"/>
    <col min="9" max="15" width="3.7109375" style="0" customWidth="1"/>
    <col min="17" max="23" width="3.7109375" style="0" customWidth="1"/>
    <col min="25" max="31" width="3.7109375" style="0" customWidth="1"/>
  </cols>
  <sheetData>
    <row r="1" spans="1:31" s="141" customFormat="1" ht="15.75">
      <c r="A1" s="140" t="str">
        <f>"FY "&amp;clFiscalYear&amp;" - Program Calendar - Residential"</f>
        <v>FY 2024 - Program Calendar - Residential</v>
      </c>
      <c r="C1" s="142"/>
      <c r="D1" s="143"/>
      <c r="E1" s="143"/>
      <c r="F1" s="143"/>
      <c r="G1" s="144"/>
      <c r="H1" s="145"/>
      <c r="I1" s="145"/>
      <c r="J1" s="145"/>
      <c r="L1" s="145"/>
      <c r="M1" s="145"/>
      <c r="Q1" s="433" t="s">
        <v>713</v>
      </c>
      <c r="AE1" s="220"/>
    </row>
    <row r="2" spans="1:31" ht="4.5" customHeight="1">
      <c r="A2" s="883"/>
      <c r="B2" s="883"/>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row>
    <row r="3" spans="1:32" ht="15.75">
      <c r="A3" s="889" t="s">
        <v>86</v>
      </c>
      <c r="B3" s="889"/>
      <c r="C3" s="889"/>
      <c r="D3" s="890"/>
      <c r="F3" s="887">
        <f>IF(clSchoolName="","",clSchoolName)</f>
      </c>
      <c r="G3" s="888"/>
      <c r="H3" s="888"/>
      <c r="I3" s="888"/>
      <c r="J3" s="888"/>
      <c r="K3" s="888"/>
      <c r="L3" s="888"/>
      <c r="M3" s="888"/>
      <c r="N3" s="888"/>
      <c r="O3" s="888"/>
      <c r="P3" s="888"/>
      <c r="X3" s="210" t="s">
        <v>258</v>
      </c>
      <c r="Y3" s="173"/>
      <c r="Z3" s="173"/>
      <c r="AA3" s="173"/>
      <c r="AB3" s="892">
        <f>clTotDaysRes</f>
        <v>0</v>
      </c>
      <c r="AC3" s="892"/>
      <c r="AD3" s="892"/>
      <c r="AE3" s="892"/>
      <c r="AF3" s="2"/>
    </row>
    <row r="4" spans="18:32" ht="3.75" customHeight="1">
      <c r="R4" s="174"/>
      <c r="S4" s="174"/>
      <c r="T4" s="174"/>
      <c r="U4" s="175"/>
      <c r="V4" s="174"/>
      <c r="AF4" s="2"/>
    </row>
    <row r="5" spans="1:31" ht="15.75">
      <c r="A5" s="210" t="s">
        <v>65</v>
      </c>
      <c r="B5" s="4"/>
      <c r="C5" s="4"/>
      <c r="F5" s="887">
        <f>IF(clProgramName="","",clProgramName)</f>
      </c>
      <c r="G5" s="888"/>
      <c r="H5" s="888"/>
      <c r="I5" s="888"/>
      <c r="J5" s="888"/>
      <c r="K5" s="888"/>
      <c r="L5" s="888"/>
      <c r="M5" s="888"/>
      <c r="N5" s="888"/>
      <c r="O5" s="888"/>
      <c r="P5" s="888"/>
      <c r="Q5" s="4"/>
      <c r="R5" s="4"/>
      <c r="S5" s="4"/>
      <c r="T5" s="4"/>
      <c r="U5" s="4"/>
      <c r="V5" s="4"/>
      <c r="W5" s="4"/>
      <c r="X5" s="210" t="s">
        <v>417</v>
      </c>
      <c r="Y5" s="4"/>
      <c r="Z5" s="4"/>
      <c r="AA5" s="4"/>
      <c r="AB5" s="887">
        <f>IF(COUNTIF(A10:G14,"&gt;0")+COUNTIF(A10:G14,"&gt;'&lt;'")&gt;0,1,0)+IF(COUNTIF(A17:G21,"&gt;0")+COUNTIF(A17:G21,"&gt;'&lt;'")&gt;0,1,0)+IF(COUNTIF(A24:G28,"&gt;0")+COUNTIF(A24:G28,"&gt;'&lt;'")&gt;0,1,0)+IF(COUNTIF(I10:O14,"&gt;0")+COUNTIF(I10:O14,"&gt;'&lt;'")&gt;0,1,0)+IF(COUNTIF(I17:O21,"&gt;0")+COUNTIF(I17:O21,"&gt;'&lt;'")&gt;0,1,0)+IF(COUNTIF(I24:O28,"&gt;0")+COUNTIF(I24:O28,"&gt;'&lt;'")&gt;0,1,0)+IF(COUNTIF(Q10:W14,"&gt;0")+COUNTIF(Q10:W14,"&gt;'&lt;'")&gt;0,1,0)+IF(COUNTIF(Q17:W21,"&gt;0")+COUNTIF(Q17:W21,"&gt;'&lt;'")&gt;0,1,0)+IF(COUNTIF(Q24:W28,"&gt;0")+COUNTIF(Q24:W28,"&gt;'&lt;'")&gt;0,1,0)+IF(COUNTIF(Y10:AE14,"&gt;0")+COUNTIF(Y10:AE14,"&gt;'&lt;'")&gt;0,1,0)+IF(COUNTIF(Y17:AE21,"&gt;0")+COUNTIF(Y17:AE21,"&gt;'&lt;'")&gt;0,1,0)+IF(COUNTIF(Y24:AE28,"&gt;0")+COUNTIF(Y24:AE28,"&gt;'&lt;'")&gt;0,1,0)</f>
        <v>0</v>
      </c>
      <c r="AC5" s="888"/>
      <c r="AD5" s="888"/>
      <c r="AE5" s="888"/>
    </row>
    <row r="6" spans="1:31"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885" t="s">
        <v>44</v>
      </c>
      <c r="B7" s="886"/>
      <c r="C7" s="886"/>
      <c r="D7" s="886"/>
      <c r="E7" s="886"/>
      <c r="F7" s="886"/>
      <c r="G7" s="886"/>
      <c r="H7" s="4"/>
      <c r="I7" s="885" t="s">
        <v>45</v>
      </c>
      <c r="J7" s="885"/>
      <c r="K7" s="885"/>
      <c r="L7" s="885"/>
      <c r="M7" s="885"/>
      <c r="N7" s="885"/>
      <c r="O7" s="885"/>
      <c r="P7" s="4"/>
      <c r="Q7" s="885" t="s">
        <v>46</v>
      </c>
      <c r="R7" s="885"/>
      <c r="S7" s="885"/>
      <c r="T7" s="885"/>
      <c r="U7" s="885"/>
      <c r="V7" s="885"/>
      <c r="W7" s="885"/>
      <c r="X7" s="4"/>
      <c r="Y7" s="885" t="s">
        <v>47</v>
      </c>
      <c r="Z7" s="885"/>
      <c r="AA7" s="885"/>
      <c r="AB7" s="885"/>
      <c r="AC7" s="885"/>
      <c r="AD7" s="885"/>
      <c r="AE7" s="885"/>
    </row>
    <row r="8" spans="1:31" s="5" customFormat="1" ht="12" customHeight="1">
      <c r="A8" s="10" t="s">
        <v>52</v>
      </c>
      <c r="B8" s="11" t="s">
        <v>53</v>
      </c>
      <c r="C8" s="11" t="s">
        <v>54</v>
      </c>
      <c r="D8" s="11" t="s">
        <v>55</v>
      </c>
      <c r="E8" s="11" t="s">
        <v>54</v>
      </c>
      <c r="F8" s="11" t="s">
        <v>56</v>
      </c>
      <c r="G8" s="11" t="s">
        <v>52</v>
      </c>
      <c r="H8" s="11"/>
      <c r="I8" s="11" t="s">
        <v>52</v>
      </c>
      <c r="J8" s="11" t="s">
        <v>53</v>
      </c>
      <c r="K8" s="11" t="s">
        <v>54</v>
      </c>
      <c r="L8" s="11" t="s">
        <v>55</v>
      </c>
      <c r="M8" s="11" t="s">
        <v>54</v>
      </c>
      <c r="N8" s="11" t="s">
        <v>56</v>
      </c>
      <c r="O8" s="11" t="s">
        <v>52</v>
      </c>
      <c r="P8" s="11"/>
      <c r="Q8" s="11" t="s">
        <v>52</v>
      </c>
      <c r="R8" s="10" t="s">
        <v>53</v>
      </c>
      <c r="S8" s="11" t="s">
        <v>54</v>
      </c>
      <c r="T8" s="11" t="s">
        <v>55</v>
      </c>
      <c r="U8" s="11" t="s">
        <v>54</v>
      </c>
      <c r="V8" s="11" t="s">
        <v>56</v>
      </c>
      <c r="W8" s="11" t="s">
        <v>52</v>
      </c>
      <c r="X8" s="11"/>
      <c r="Y8" s="10" t="s">
        <v>52</v>
      </c>
      <c r="Z8" s="10" t="s">
        <v>53</v>
      </c>
      <c r="AA8" s="10" t="s">
        <v>54</v>
      </c>
      <c r="AB8" s="10" t="s">
        <v>55</v>
      </c>
      <c r="AC8" s="10" t="s">
        <v>54</v>
      </c>
      <c r="AD8" s="10" t="s">
        <v>56</v>
      </c>
      <c r="AE8" s="10" t="s">
        <v>52</v>
      </c>
    </row>
    <row r="9" spans="1:31" ht="12.75">
      <c r="A9" s="799" t="s">
        <v>48</v>
      </c>
      <c r="B9" s="799"/>
      <c r="C9" s="4"/>
      <c r="D9" s="4"/>
      <c r="E9" s="2"/>
      <c r="F9" s="2"/>
      <c r="G9" s="2"/>
      <c r="H9" s="2"/>
      <c r="I9" s="12" t="s">
        <v>49</v>
      </c>
      <c r="J9" s="12"/>
      <c r="K9" s="1"/>
      <c r="L9" s="1"/>
      <c r="M9" s="1"/>
      <c r="N9" s="1"/>
      <c r="O9" s="1"/>
      <c r="P9" s="1"/>
      <c r="Q9" s="12" t="s">
        <v>50</v>
      </c>
      <c r="R9" s="3"/>
      <c r="S9" s="1"/>
      <c r="T9" s="1"/>
      <c r="U9" s="1"/>
      <c r="V9" s="1"/>
      <c r="W9" s="1"/>
      <c r="X9" s="1"/>
      <c r="Y9" s="3" t="s">
        <v>51</v>
      </c>
      <c r="Z9" s="7"/>
      <c r="AA9" s="8"/>
      <c r="AB9" s="8"/>
      <c r="AC9" s="8"/>
      <c r="AD9" s="8"/>
      <c r="AE9" s="8"/>
    </row>
    <row r="10" spans="1:31" ht="17.25" customHeight="1">
      <c r="A10" s="168" t="str">
        <f>'(Data)'!BN1</f>
        <v>.30</v>
      </c>
      <c r="B10" s="168" t="str">
        <f>'(Data)'!BO1</f>
        <v>.31</v>
      </c>
      <c r="C10" s="168">
        <f>'(Data)'!BP1</f>
        <v>0</v>
      </c>
      <c r="D10" s="168">
        <f>'(Data)'!BQ1</f>
        <v>0</v>
      </c>
      <c r="E10" s="168">
        <f>'(Data)'!BR1</f>
        <v>0</v>
      </c>
      <c r="F10" s="168">
        <f>'(Data)'!BS1</f>
        <v>0</v>
      </c>
      <c r="G10" s="168" t="str">
        <f>'(Data)'!BT1</f>
        <v>.1</v>
      </c>
      <c r="H10" s="2"/>
      <c r="I10" s="168" t="str">
        <f>'(Data)'!BN16</f>
        <v>.1</v>
      </c>
      <c r="J10" s="168" t="str">
        <f>'(Data)'!BO16</f>
        <v>.2</v>
      </c>
      <c r="K10" s="168" t="str">
        <f>'(Data)'!BP16</f>
        <v>.3</v>
      </c>
      <c r="L10" s="168" t="str">
        <f>'(Data)'!BQ16</f>
        <v>.4</v>
      </c>
      <c r="M10" s="168" t="str">
        <f>'(Data)'!BR16</f>
        <v>.5</v>
      </c>
      <c r="N10" s="168" t="str">
        <f>'(Data)'!BS16</f>
        <v>.6</v>
      </c>
      <c r="O10" s="168" t="str">
        <f>'(Data)'!BT16</f>
        <v>.7</v>
      </c>
      <c r="P10" s="2"/>
      <c r="Q10" s="168">
        <f>'(Data)'!BN31</f>
        <v>0</v>
      </c>
      <c r="R10" s="168" t="str">
        <f>'(Data)'!BO31</f>
        <v>.1</v>
      </c>
      <c r="S10" s="168" t="str">
        <f>'(Data)'!BP31</f>
        <v>.2</v>
      </c>
      <c r="T10" s="168" t="str">
        <f>'(Data)'!BQ31</f>
        <v>.3</v>
      </c>
      <c r="U10" s="168" t="str">
        <f>'(Data)'!BR31</f>
        <v>.4</v>
      </c>
      <c r="V10" s="168" t="str">
        <f>'(Data)'!BS31</f>
        <v>.5</v>
      </c>
      <c r="W10" s="168" t="str">
        <f>'(Data)'!BT31</f>
        <v>.6</v>
      </c>
      <c r="X10" s="2"/>
      <c r="Y10" s="168">
        <f>'(Data)'!BN46</f>
        <v>0</v>
      </c>
      <c r="Z10" s="168" t="str">
        <f>'(Data)'!BO46</f>
        <v>.1</v>
      </c>
      <c r="AA10" s="168" t="str">
        <f>'(Data)'!BP46</f>
        <v>.2</v>
      </c>
      <c r="AB10" s="168" t="str">
        <f>'(Data)'!BQ46</f>
        <v>.3</v>
      </c>
      <c r="AC10" s="168" t="str">
        <f>'(Data)'!BR46</f>
        <v>.4</v>
      </c>
      <c r="AD10" s="168" t="str">
        <f>'(Data)'!BS46</f>
        <v>.5</v>
      </c>
      <c r="AE10" s="168" t="str">
        <f>'(Data)'!BT46</f>
        <v>.6</v>
      </c>
    </row>
    <row r="11" spans="1:31" ht="17.25" customHeight="1">
      <c r="A11" s="168" t="str">
        <f>'(Data)'!BN2</f>
        <v>.2</v>
      </c>
      <c r="B11" s="168" t="str">
        <f>'(Data)'!BO2</f>
        <v>.3</v>
      </c>
      <c r="C11" s="168" t="str">
        <f>'(Data)'!BP2</f>
        <v>.4</v>
      </c>
      <c r="D11" s="168" t="str">
        <f>'(Data)'!BQ2</f>
        <v>.5</v>
      </c>
      <c r="E11" s="168" t="str">
        <f>'(Data)'!BR2</f>
        <v>.6</v>
      </c>
      <c r="F11" s="169" t="str">
        <f>'(Data)'!BS2</f>
        <v>.7</v>
      </c>
      <c r="G11" s="168" t="str">
        <f>'(Data)'!BT2</f>
        <v>.8</v>
      </c>
      <c r="H11" s="2"/>
      <c r="I11" s="168" t="str">
        <f>'(Data)'!BN17</f>
        <v>.8</v>
      </c>
      <c r="J11" s="168" t="str">
        <f>'(Data)'!BO17</f>
        <v>.9</v>
      </c>
      <c r="K11" s="168" t="str">
        <f>'(Data)'!BP17</f>
        <v>.10</v>
      </c>
      <c r="L11" s="168" t="str">
        <f>'(Data)'!BQ17</f>
        <v>.11</v>
      </c>
      <c r="M11" s="168" t="str">
        <f>'(Data)'!BR17</f>
        <v>.12</v>
      </c>
      <c r="N11" s="169" t="str">
        <f>'(Data)'!BS17</f>
        <v>.13</v>
      </c>
      <c r="O11" s="168" t="str">
        <f>'(Data)'!BT17</f>
        <v>.14</v>
      </c>
      <c r="P11" s="2"/>
      <c r="Q11" s="168" t="str">
        <f>'(Data)'!BN32</f>
        <v>.7</v>
      </c>
      <c r="R11" s="168" t="str">
        <f>'(Data)'!BO32</f>
        <v>.8</v>
      </c>
      <c r="S11" s="168" t="str">
        <f>'(Data)'!BP32</f>
        <v>.9</v>
      </c>
      <c r="T11" s="168" t="str">
        <f>'(Data)'!BQ32</f>
        <v>.10</v>
      </c>
      <c r="U11" s="168" t="str">
        <f>'(Data)'!BR32</f>
        <v>.11</v>
      </c>
      <c r="V11" s="169" t="str">
        <f>'(Data)'!BS32</f>
        <v>.12</v>
      </c>
      <c r="W11" s="168" t="str">
        <f>'(Data)'!BT32</f>
        <v>.13</v>
      </c>
      <c r="X11" s="2"/>
      <c r="Y11" s="168" t="str">
        <f>'(Data)'!BN47</f>
        <v>.7</v>
      </c>
      <c r="Z11" s="168" t="str">
        <f>'(Data)'!BO47</f>
        <v>.8</v>
      </c>
      <c r="AA11" s="168" t="str">
        <f>'(Data)'!BP47</f>
        <v>.9</v>
      </c>
      <c r="AB11" s="168" t="str">
        <f>'(Data)'!BQ47</f>
        <v>.10</v>
      </c>
      <c r="AC11" s="168" t="str">
        <f>'(Data)'!BR47</f>
        <v>.11</v>
      </c>
      <c r="AD11" s="169" t="str">
        <f>'(Data)'!BS47</f>
        <v>.12</v>
      </c>
      <c r="AE11" s="168" t="str">
        <f>'(Data)'!BT47</f>
        <v>.13</v>
      </c>
    </row>
    <row r="12" spans="1:31" ht="17.25" customHeight="1">
      <c r="A12" s="168" t="str">
        <f>'(Data)'!BN3</f>
        <v>.9</v>
      </c>
      <c r="B12" s="170" t="str">
        <f>'(Data)'!BO3</f>
        <v>.10</v>
      </c>
      <c r="C12" s="168" t="str">
        <f>'(Data)'!BP3</f>
        <v>.11</v>
      </c>
      <c r="D12" s="168" t="str">
        <f>'(Data)'!BQ3</f>
        <v>.12</v>
      </c>
      <c r="E12" s="168" t="str">
        <f>'(Data)'!BR3</f>
        <v>.13</v>
      </c>
      <c r="F12" s="168" t="str">
        <f>'(Data)'!BS3</f>
        <v>.14</v>
      </c>
      <c r="G12" s="168" t="str">
        <f>'(Data)'!BT3</f>
        <v>.15</v>
      </c>
      <c r="H12" s="2"/>
      <c r="I12" s="168" t="str">
        <f>'(Data)'!BN18</f>
        <v>.15</v>
      </c>
      <c r="J12" s="170" t="str">
        <f>'(Data)'!BO18</f>
        <v>.16</v>
      </c>
      <c r="K12" s="168" t="str">
        <f>'(Data)'!BP18</f>
        <v>.17</v>
      </c>
      <c r="L12" s="168" t="str">
        <f>'(Data)'!BQ18</f>
        <v>.18</v>
      </c>
      <c r="M12" s="168" t="str">
        <f>'(Data)'!BR18</f>
        <v>.19</v>
      </c>
      <c r="N12" s="168" t="str">
        <f>'(Data)'!BS18</f>
        <v>.20</v>
      </c>
      <c r="O12" s="168" t="str">
        <f>'(Data)'!BT18</f>
        <v>.21</v>
      </c>
      <c r="P12" s="2"/>
      <c r="Q12" s="168" t="str">
        <f>'(Data)'!BN33</f>
        <v>.14</v>
      </c>
      <c r="R12" s="170" t="str">
        <f>'(Data)'!BO33</f>
        <v>.15</v>
      </c>
      <c r="S12" s="168" t="str">
        <f>'(Data)'!BP33</f>
        <v>.16</v>
      </c>
      <c r="T12" s="168" t="str">
        <f>'(Data)'!BQ33</f>
        <v>.17</v>
      </c>
      <c r="U12" s="168" t="str">
        <f>'(Data)'!BR33</f>
        <v>.18</v>
      </c>
      <c r="V12" s="168" t="str">
        <f>'(Data)'!BS33</f>
        <v>.19</v>
      </c>
      <c r="W12" s="168" t="str">
        <f>'(Data)'!BT33</f>
        <v>.20</v>
      </c>
      <c r="X12" s="2"/>
      <c r="Y12" s="168" t="str">
        <f>'(Data)'!BN48</f>
        <v>.14</v>
      </c>
      <c r="Z12" s="170" t="str">
        <f>'(Data)'!BO48</f>
        <v>.15</v>
      </c>
      <c r="AA12" s="168" t="str">
        <f>'(Data)'!BP48</f>
        <v>.16</v>
      </c>
      <c r="AB12" s="168" t="str">
        <f>'(Data)'!BQ48</f>
        <v>.17</v>
      </c>
      <c r="AC12" s="168" t="str">
        <f>'(Data)'!BR48</f>
        <v>.18</v>
      </c>
      <c r="AD12" s="168" t="str">
        <f>'(Data)'!BS48</f>
        <v>.19</v>
      </c>
      <c r="AE12" s="168" t="str">
        <f>'(Data)'!BT48</f>
        <v>.20</v>
      </c>
    </row>
    <row r="13" spans="1:31" ht="17.25" customHeight="1">
      <c r="A13" s="168" t="str">
        <f>'(Data)'!BN4</f>
        <v>.16</v>
      </c>
      <c r="B13" s="168" t="str">
        <f>'(Data)'!BO4</f>
        <v>.17</v>
      </c>
      <c r="C13" s="168" t="str">
        <f>'(Data)'!BP4</f>
        <v>.18</v>
      </c>
      <c r="D13" s="170" t="str">
        <f>'(Data)'!BQ4</f>
        <v>.19</v>
      </c>
      <c r="E13" s="168" t="str">
        <f>'(Data)'!BR4</f>
        <v>.20</v>
      </c>
      <c r="F13" s="168" t="str">
        <f>'(Data)'!BS4</f>
        <v>.21</v>
      </c>
      <c r="G13" s="168" t="str">
        <f>'(Data)'!BT4</f>
        <v>.22</v>
      </c>
      <c r="H13" s="2"/>
      <c r="I13" s="168" t="str">
        <f>'(Data)'!BN19</f>
        <v>.22</v>
      </c>
      <c r="J13" s="168" t="str">
        <f>'(Data)'!BO19</f>
        <v>.23</v>
      </c>
      <c r="K13" s="168" t="str">
        <f>'(Data)'!BP19</f>
        <v>.24</v>
      </c>
      <c r="L13" s="170" t="str">
        <f>'(Data)'!BQ19</f>
        <v>.25</v>
      </c>
      <c r="M13" s="168" t="str">
        <f>'(Data)'!BR19</f>
        <v>.26</v>
      </c>
      <c r="N13" s="168" t="str">
        <f>'(Data)'!BS19</f>
        <v>.27</v>
      </c>
      <c r="O13" s="168" t="str">
        <f>'(Data)'!BT19</f>
        <v>.28</v>
      </c>
      <c r="P13" s="2"/>
      <c r="Q13" s="168" t="str">
        <f>'(Data)'!BN34</f>
        <v>.21</v>
      </c>
      <c r="R13" s="168" t="str">
        <f>'(Data)'!BO34</f>
        <v>.22</v>
      </c>
      <c r="S13" s="168" t="str">
        <f>'(Data)'!BP34</f>
        <v>.23</v>
      </c>
      <c r="T13" s="170" t="str">
        <f>'(Data)'!BQ34</f>
        <v>.24</v>
      </c>
      <c r="U13" s="168" t="str">
        <f>'(Data)'!BR34</f>
        <v>.25</v>
      </c>
      <c r="V13" s="168" t="str">
        <f>'(Data)'!BS34</f>
        <v>.26</v>
      </c>
      <c r="W13" s="168" t="str">
        <f>'(Data)'!BT34</f>
        <v>.27</v>
      </c>
      <c r="X13" s="2"/>
      <c r="Y13" s="168" t="str">
        <f>'(Data)'!BN49</f>
        <v>.21</v>
      </c>
      <c r="Z13" s="168" t="str">
        <f>'(Data)'!BO49</f>
        <v>.22</v>
      </c>
      <c r="AA13" s="168" t="str">
        <f>'(Data)'!BP49</f>
        <v>.23</v>
      </c>
      <c r="AB13" s="170" t="str">
        <f>'(Data)'!BQ49</f>
        <v>.24</v>
      </c>
      <c r="AC13" s="168" t="str">
        <f>'(Data)'!BR49</f>
        <v>.25</v>
      </c>
      <c r="AD13" s="168" t="str">
        <f>'(Data)'!BS49</f>
        <v>.26</v>
      </c>
      <c r="AE13" s="168" t="str">
        <f>'(Data)'!BT49</f>
        <v>.27</v>
      </c>
    </row>
    <row r="14" spans="1:31" ht="17.25" customHeight="1">
      <c r="A14" s="168" t="str">
        <f>'(Data)'!BN5</f>
        <v>.23</v>
      </c>
      <c r="B14" s="171" t="str">
        <f>'(Data)'!BO5</f>
        <v>.24</v>
      </c>
      <c r="C14" s="168" t="str">
        <f>'(Data)'!BP5</f>
        <v>.25</v>
      </c>
      <c r="D14" s="168" t="str">
        <f>'(Data)'!BQ5</f>
        <v>.26</v>
      </c>
      <c r="E14" s="168" t="str">
        <f>'(Data)'!BR5</f>
        <v>.27</v>
      </c>
      <c r="F14" s="168" t="str">
        <f>'(Data)'!BS5</f>
        <v>.28</v>
      </c>
      <c r="G14" s="168" t="str">
        <f>'(Data)'!BT5</f>
        <v>.29</v>
      </c>
      <c r="H14" s="2"/>
      <c r="I14" s="168" t="str">
        <f>'(Data)'!BN20</f>
        <v>.29</v>
      </c>
      <c r="J14" s="171" t="str">
        <f>'(Data)'!BO20</f>
        <v>.30</v>
      </c>
      <c r="K14" s="168" t="str">
        <f>'(Data)'!BP20</f>
        <v>.31</v>
      </c>
      <c r="L14" s="168">
        <f>'(Data)'!BQ20</f>
        <v>0</v>
      </c>
      <c r="M14" s="168">
        <f>'(Data)'!BR20</f>
        <v>0</v>
      </c>
      <c r="N14" s="168">
        <f>'(Data)'!BS20</f>
        <v>0</v>
      </c>
      <c r="O14" s="168">
        <f>'(Data)'!BT20</f>
        <v>0</v>
      </c>
      <c r="P14" s="2"/>
      <c r="Q14" s="168" t="str">
        <f>'(Data)'!BN35</f>
        <v>.28</v>
      </c>
      <c r="R14" s="171" t="str">
        <f>'(Data)'!BO35</f>
        <v>.29</v>
      </c>
      <c r="S14" s="168" t="str">
        <f>'(Data)'!BP35</f>
        <v>.30</v>
      </c>
      <c r="T14" s="168" t="str">
        <f>'(Data)'!BQ35</f>
        <v>.31</v>
      </c>
      <c r="U14" s="168">
        <f>'(Data)'!BR35</f>
        <v>0</v>
      </c>
      <c r="V14" s="168">
        <f>'(Data)'!BS35</f>
        <v>0</v>
      </c>
      <c r="W14" s="168">
        <f>'(Data)'!BT35</f>
        <v>0</v>
      </c>
      <c r="X14" s="2"/>
      <c r="Y14" s="168" t="str">
        <f>'(Data)'!BN50</f>
        <v>.28</v>
      </c>
      <c r="Z14" s="171" t="str">
        <f>'(Data)'!BO50</f>
        <v>.29</v>
      </c>
      <c r="AA14" s="168" t="str">
        <f>'(Data)'!BP50</f>
        <v>.30</v>
      </c>
      <c r="AB14" s="168">
        <f>'(Data)'!BQ50</f>
        <v>0</v>
      </c>
      <c r="AC14" s="168">
        <f>'(Data)'!BR50</f>
        <v>0</v>
      </c>
      <c r="AD14" s="168">
        <f>'(Data)'!BS50</f>
        <v>0</v>
      </c>
      <c r="AE14" s="168">
        <f>'(Data)'!BT50</f>
        <v>0</v>
      </c>
    </row>
    <row r="15" spans="1:31" ht="12.75">
      <c r="A15" s="9"/>
      <c r="B15" s="9"/>
      <c r="C15" s="9"/>
      <c r="D15" s="9"/>
      <c r="E15" s="9"/>
      <c r="F15" s="9"/>
      <c r="G15" s="9"/>
      <c r="H15" s="2"/>
      <c r="I15" s="9"/>
      <c r="J15" s="9"/>
      <c r="K15" s="9"/>
      <c r="L15" s="9"/>
      <c r="M15" s="9"/>
      <c r="N15" s="9"/>
      <c r="O15" s="9"/>
      <c r="P15" s="2"/>
      <c r="Q15" s="9"/>
      <c r="R15" s="9"/>
      <c r="S15" s="9"/>
      <c r="T15" s="9"/>
      <c r="U15" s="9"/>
      <c r="V15" s="9"/>
      <c r="W15" s="9"/>
      <c r="X15" s="2"/>
      <c r="Y15" s="9"/>
      <c r="Z15" s="9"/>
      <c r="AA15" s="9"/>
      <c r="AB15" s="9"/>
      <c r="AC15" s="9"/>
      <c r="AD15" s="9"/>
      <c r="AE15" s="9"/>
    </row>
    <row r="16" spans="1:31" ht="12.75">
      <c r="A16" s="884" t="s">
        <v>57</v>
      </c>
      <c r="B16" s="884"/>
      <c r="C16" s="3"/>
      <c r="D16" s="3"/>
      <c r="E16" s="3"/>
      <c r="F16" s="3"/>
      <c r="G16" s="3"/>
      <c r="H16" s="12"/>
      <c r="I16" s="3" t="s">
        <v>58</v>
      </c>
      <c r="J16" s="3"/>
      <c r="K16" s="3"/>
      <c r="L16" s="3"/>
      <c r="M16" s="3"/>
      <c r="N16" s="3"/>
      <c r="O16" s="3"/>
      <c r="P16" s="12"/>
      <c r="Q16" s="3" t="s">
        <v>59</v>
      </c>
      <c r="R16" s="3"/>
      <c r="S16" s="3"/>
      <c r="T16" s="3"/>
      <c r="U16" s="3"/>
      <c r="V16" s="3"/>
      <c r="W16" s="3"/>
      <c r="X16" s="12"/>
      <c r="Y16" s="3" t="s">
        <v>60</v>
      </c>
      <c r="Z16" s="7"/>
      <c r="AA16" s="7"/>
      <c r="AB16" s="7"/>
      <c r="AC16" s="7"/>
      <c r="AD16" s="7"/>
      <c r="AE16" s="7"/>
    </row>
    <row r="17" spans="1:31" ht="17.25" customHeight="1">
      <c r="A17" s="168">
        <f>'(Data)'!BN6</f>
        <v>0</v>
      </c>
      <c r="B17" s="168">
        <f>'(Data)'!BO6</f>
        <v>0</v>
      </c>
      <c r="C17" s="168" t="str">
        <f>'(Data)'!BP6</f>
        <v>.1</v>
      </c>
      <c r="D17" s="168" t="str">
        <f>'(Data)'!BQ6</f>
        <v>.2</v>
      </c>
      <c r="E17" s="168" t="str">
        <f>'(Data)'!BR6</f>
        <v>.3</v>
      </c>
      <c r="F17" s="168" t="str">
        <f>'(Data)'!BS6</f>
        <v>.4</v>
      </c>
      <c r="G17" s="168" t="str">
        <f>'(Data)'!BT6</f>
        <v>.5</v>
      </c>
      <c r="H17" s="2"/>
      <c r="I17" s="168">
        <f>'(Data)'!BN21</f>
        <v>0</v>
      </c>
      <c r="J17" s="168">
        <f>'(Data)'!BO21</f>
        <v>0</v>
      </c>
      <c r="K17" s="168">
        <f>'(Data)'!BP21</f>
        <v>0</v>
      </c>
      <c r="L17" s="168" t="str">
        <f>'(Data)'!BQ21</f>
        <v>.1</v>
      </c>
      <c r="M17" s="168" t="str">
        <f>'(Data)'!BR21</f>
        <v>.2</v>
      </c>
      <c r="N17" s="168" t="str">
        <f>'(Data)'!BS21</f>
        <v>.3</v>
      </c>
      <c r="O17" s="168" t="str">
        <f>'(Data)'!BT21</f>
        <v>.4</v>
      </c>
      <c r="P17" s="2"/>
      <c r="Q17" s="168">
        <f>'(Data)'!BN36</f>
        <v>0</v>
      </c>
      <c r="R17" s="168">
        <f>'(Data)'!BO36</f>
        <v>0</v>
      </c>
      <c r="S17" s="168">
        <f>'(Data)'!BP36</f>
        <v>0</v>
      </c>
      <c r="T17" s="168">
        <f>'(Data)'!BQ36</f>
        <v>0</v>
      </c>
      <c r="U17" s="168" t="str">
        <f>'(Data)'!BR36</f>
        <v>.1</v>
      </c>
      <c r="V17" s="168" t="str">
        <f>'(Data)'!BS36</f>
        <v>.2</v>
      </c>
      <c r="W17" s="168" t="str">
        <f>'(Data)'!BT36</f>
        <v>.3</v>
      </c>
      <c r="X17" s="2"/>
      <c r="Y17" s="168">
        <f>'(Data)'!BN51</f>
        <v>0</v>
      </c>
      <c r="Z17" s="168">
        <f>'(Data)'!BO51</f>
        <v>0</v>
      </c>
      <c r="AA17" s="168">
        <f>'(Data)'!BP51</f>
        <v>0</v>
      </c>
      <c r="AB17" s="168" t="str">
        <f>'(Data)'!BQ51</f>
        <v>.1</v>
      </c>
      <c r="AC17" s="168" t="str">
        <f>'(Data)'!BR51</f>
        <v>.2</v>
      </c>
      <c r="AD17" s="168" t="str">
        <f>'(Data)'!BS51</f>
        <v>.3</v>
      </c>
      <c r="AE17" s="168" t="str">
        <f>'(Data)'!BT51</f>
        <v>.4</v>
      </c>
    </row>
    <row r="18" spans="1:31" ht="17.25" customHeight="1">
      <c r="A18" s="168" t="str">
        <f>'(Data)'!BN7</f>
        <v>.6</v>
      </c>
      <c r="B18" s="168" t="str">
        <f>'(Data)'!BO7</f>
        <v>.7</v>
      </c>
      <c r="C18" s="168" t="str">
        <f>'(Data)'!BP7</f>
        <v>.8</v>
      </c>
      <c r="D18" s="168" t="str">
        <f>'(Data)'!BQ7</f>
        <v>.9</v>
      </c>
      <c r="E18" s="168" t="str">
        <f>'(Data)'!BR7</f>
        <v>.10</v>
      </c>
      <c r="F18" s="169" t="str">
        <f>'(Data)'!BS7</f>
        <v>.11</v>
      </c>
      <c r="G18" s="168" t="str">
        <f>'(Data)'!BT7</f>
        <v>.12</v>
      </c>
      <c r="H18" s="2"/>
      <c r="I18" s="168" t="str">
        <f>'(Data)'!BN22</f>
        <v>.5</v>
      </c>
      <c r="J18" s="168" t="str">
        <f>'(Data)'!BO22</f>
        <v>.6</v>
      </c>
      <c r="K18" s="168" t="str">
        <f>'(Data)'!BP22</f>
        <v>.7</v>
      </c>
      <c r="L18" s="168" t="str">
        <f>'(Data)'!BQ22</f>
        <v>.8</v>
      </c>
      <c r="M18" s="168" t="str">
        <f>'(Data)'!BR22</f>
        <v>.9</v>
      </c>
      <c r="N18" s="169" t="str">
        <f>'(Data)'!BS22</f>
        <v>.10</v>
      </c>
      <c r="O18" s="168" t="str">
        <f>'(Data)'!BT22</f>
        <v>.11</v>
      </c>
      <c r="P18" s="2"/>
      <c r="Q18" s="168" t="str">
        <f>'(Data)'!BN37</f>
        <v>.4</v>
      </c>
      <c r="R18" s="168" t="str">
        <f>'(Data)'!BO37</f>
        <v>.5</v>
      </c>
      <c r="S18" s="168" t="str">
        <f>'(Data)'!BP37</f>
        <v>.6</v>
      </c>
      <c r="T18" s="168" t="str">
        <f>'(Data)'!BQ37</f>
        <v>.7</v>
      </c>
      <c r="U18" s="168" t="str">
        <f>'(Data)'!BR37</f>
        <v>.8</v>
      </c>
      <c r="V18" s="169" t="str">
        <f>'(Data)'!BS37</f>
        <v>.9</v>
      </c>
      <c r="W18" s="168" t="str">
        <f>'(Data)'!BT37</f>
        <v>.10</v>
      </c>
      <c r="X18" s="2"/>
      <c r="Y18" s="168" t="str">
        <f>'(Data)'!BN52</f>
        <v>.5</v>
      </c>
      <c r="Z18" s="168" t="str">
        <f>'(Data)'!BO52</f>
        <v>.6</v>
      </c>
      <c r="AA18" s="168" t="str">
        <f>'(Data)'!BP52</f>
        <v>.7</v>
      </c>
      <c r="AB18" s="168" t="str">
        <f>'(Data)'!BQ52</f>
        <v>.8</v>
      </c>
      <c r="AC18" s="168" t="str">
        <f>'(Data)'!BR52</f>
        <v>.9</v>
      </c>
      <c r="AD18" s="169" t="str">
        <f>'(Data)'!BS52</f>
        <v>.10</v>
      </c>
      <c r="AE18" s="168" t="str">
        <f>'(Data)'!BT52</f>
        <v>.11</v>
      </c>
    </row>
    <row r="19" spans="1:31" ht="17.25" customHeight="1">
      <c r="A19" s="168" t="str">
        <f>'(Data)'!BN8</f>
        <v>.13</v>
      </c>
      <c r="B19" s="170" t="str">
        <f>'(Data)'!BO8</f>
        <v>.14</v>
      </c>
      <c r="C19" s="168" t="str">
        <f>'(Data)'!BP8</f>
        <v>.15</v>
      </c>
      <c r="D19" s="168" t="str">
        <f>'(Data)'!BQ8</f>
        <v>.16</v>
      </c>
      <c r="E19" s="168" t="str">
        <f>'(Data)'!BR8</f>
        <v>.17</v>
      </c>
      <c r="F19" s="168" t="str">
        <f>'(Data)'!BS8</f>
        <v>.18</v>
      </c>
      <c r="G19" s="168" t="str">
        <f>'(Data)'!BT8</f>
        <v>.19</v>
      </c>
      <c r="H19" s="2"/>
      <c r="I19" s="168" t="str">
        <f>'(Data)'!BN23</f>
        <v>.12</v>
      </c>
      <c r="J19" s="170" t="str">
        <f>'(Data)'!BO23</f>
        <v>.13</v>
      </c>
      <c r="K19" s="168" t="str">
        <f>'(Data)'!BP23</f>
        <v>.14</v>
      </c>
      <c r="L19" s="168" t="str">
        <f>'(Data)'!BQ23</f>
        <v>.15</v>
      </c>
      <c r="M19" s="168" t="str">
        <f>'(Data)'!BR23</f>
        <v>.16</v>
      </c>
      <c r="N19" s="168" t="str">
        <f>'(Data)'!BS23</f>
        <v>.17</v>
      </c>
      <c r="O19" s="168" t="str">
        <f>'(Data)'!BT23</f>
        <v>.18</v>
      </c>
      <c r="P19" s="2"/>
      <c r="Q19" s="168" t="str">
        <f>'(Data)'!BN38</f>
        <v>.11</v>
      </c>
      <c r="R19" s="170" t="str">
        <f>'(Data)'!BO38</f>
        <v>.12</v>
      </c>
      <c r="S19" s="168" t="str">
        <f>'(Data)'!BP38</f>
        <v>.13</v>
      </c>
      <c r="T19" s="168" t="str">
        <f>'(Data)'!BQ38</f>
        <v>.14</v>
      </c>
      <c r="U19" s="168" t="str">
        <f>'(Data)'!BR38</f>
        <v>.15</v>
      </c>
      <c r="V19" s="168" t="str">
        <f>'(Data)'!BS38</f>
        <v>.16</v>
      </c>
      <c r="W19" s="168" t="str">
        <f>'(Data)'!BT38</f>
        <v>.17</v>
      </c>
      <c r="X19" s="2"/>
      <c r="Y19" s="168" t="str">
        <f>'(Data)'!BN53</f>
        <v>.12</v>
      </c>
      <c r="Z19" s="170" t="str">
        <f>'(Data)'!BO53</f>
        <v>.13</v>
      </c>
      <c r="AA19" s="168" t="str">
        <f>'(Data)'!BP53</f>
        <v>.14</v>
      </c>
      <c r="AB19" s="168" t="str">
        <f>'(Data)'!BQ53</f>
        <v>.15</v>
      </c>
      <c r="AC19" s="168" t="str">
        <f>'(Data)'!BR53</f>
        <v>.16</v>
      </c>
      <c r="AD19" s="168" t="str">
        <f>'(Data)'!BS53</f>
        <v>.17</v>
      </c>
      <c r="AE19" s="168" t="str">
        <f>'(Data)'!BT53</f>
        <v>.18</v>
      </c>
    </row>
    <row r="20" spans="1:31" ht="17.25" customHeight="1">
      <c r="A20" s="168" t="str">
        <f>'(Data)'!BN9</f>
        <v>.20</v>
      </c>
      <c r="B20" s="168" t="str">
        <f>'(Data)'!BO9</f>
        <v>.21</v>
      </c>
      <c r="C20" s="168" t="str">
        <f>'(Data)'!BP9</f>
        <v>.22</v>
      </c>
      <c r="D20" s="170" t="str">
        <f>'(Data)'!BQ9</f>
        <v>.23</v>
      </c>
      <c r="E20" s="168" t="str">
        <f>'(Data)'!BR9</f>
        <v>.24</v>
      </c>
      <c r="F20" s="168" t="str">
        <f>'(Data)'!BS9</f>
        <v>.25</v>
      </c>
      <c r="G20" s="168" t="str">
        <f>'(Data)'!BT9</f>
        <v>.26</v>
      </c>
      <c r="H20" s="2"/>
      <c r="I20" s="168" t="str">
        <f>'(Data)'!BN24</f>
        <v>.19</v>
      </c>
      <c r="J20" s="168" t="str">
        <f>'(Data)'!BO24</f>
        <v>.20</v>
      </c>
      <c r="K20" s="168" t="str">
        <f>'(Data)'!BP24</f>
        <v>.21</v>
      </c>
      <c r="L20" s="170" t="str">
        <f>'(Data)'!BQ24</f>
        <v>.22</v>
      </c>
      <c r="M20" s="168" t="str">
        <f>'(Data)'!BR24</f>
        <v>.23</v>
      </c>
      <c r="N20" s="168" t="str">
        <f>'(Data)'!BS24</f>
        <v>.24</v>
      </c>
      <c r="O20" s="168" t="str">
        <f>'(Data)'!BT24</f>
        <v>.25</v>
      </c>
      <c r="P20" s="2"/>
      <c r="Q20" s="168" t="str">
        <f>'(Data)'!BN39</f>
        <v>.18</v>
      </c>
      <c r="R20" s="168" t="str">
        <f>'(Data)'!BO39</f>
        <v>.19</v>
      </c>
      <c r="S20" s="168" t="str">
        <f>'(Data)'!BP39</f>
        <v>.20</v>
      </c>
      <c r="T20" s="170" t="str">
        <f>'(Data)'!BQ39</f>
        <v>.21</v>
      </c>
      <c r="U20" s="168" t="str">
        <f>'(Data)'!BR39</f>
        <v>.22</v>
      </c>
      <c r="V20" s="168" t="str">
        <f>'(Data)'!BS39</f>
        <v>.23</v>
      </c>
      <c r="W20" s="168" t="str">
        <f>'(Data)'!BT39</f>
        <v>.24</v>
      </c>
      <c r="X20" s="2"/>
      <c r="Y20" s="168" t="str">
        <f>'(Data)'!BN54</f>
        <v>.19</v>
      </c>
      <c r="Z20" s="168" t="str">
        <f>'(Data)'!BO54</f>
        <v>.20</v>
      </c>
      <c r="AA20" s="168" t="str">
        <f>'(Data)'!BP54</f>
        <v>.21</v>
      </c>
      <c r="AB20" s="170" t="str">
        <f>'(Data)'!BQ54</f>
        <v>.22</v>
      </c>
      <c r="AC20" s="168" t="str">
        <f>'(Data)'!BR54</f>
        <v>.23</v>
      </c>
      <c r="AD20" s="168" t="str">
        <f>'(Data)'!BS54</f>
        <v>.24</v>
      </c>
      <c r="AE20" s="168" t="str">
        <f>'(Data)'!BT54</f>
        <v>.25</v>
      </c>
    </row>
    <row r="21" spans="1:31" ht="17.25" customHeight="1">
      <c r="A21" s="168" t="str">
        <f>'(Data)'!BN10</f>
        <v>.27</v>
      </c>
      <c r="B21" s="171" t="str">
        <f>'(Data)'!BO10</f>
        <v>.28</v>
      </c>
      <c r="C21" s="168" t="str">
        <f>'(Data)'!BP10</f>
        <v>.29</v>
      </c>
      <c r="D21" s="168" t="str">
        <f>'(Data)'!BQ10</f>
        <v>.30</v>
      </c>
      <c r="E21" s="168" t="str">
        <f>'(Data)'!BR10</f>
        <v>.31</v>
      </c>
      <c r="F21" s="168">
        <f>'(Data)'!BS10</f>
        <v>0</v>
      </c>
      <c r="G21" s="168">
        <f>'(Data)'!BT10</f>
        <v>0</v>
      </c>
      <c r="H21" s="2"/>
      <c r="I21" s="168" t="str">
        <f>'(Data)'!BN25</f>
        <v>.26</v>
      </c>
      <c r="J21" s="171" t="str">
        <f>'(Data)'!BO25</f>
        <v>.27</v>
      </c>
      <c r="K21" s="168" t="str">
        <f>'(Data)'!BP25</f>
        <v>.28</v>
      </c>
      <c r="L21" s="168" t="str">
        <f>'(Data)'!BQ25</f>
        <v>.29</v>
      </c>
      <c r="M21" s="168" t="str">
        <f>'(Data)'!BR25</f>
        <v>.30</v>
      </c>
      <c r="N21" s="168">
        <f>'(Data)'!BS25</f>
        <v>0</v>
      </c>
      <c r="O21" s="168">
        <f>'(Data)'!BT25</f>
        <v>0</v>
      </c>
      <c r="P21" s="2"/>
      <c r="Q21" s="168" t="str">
        <f>'(Data)'!BN40</f>
        <v>.25</v>
      </c>
      <c r="R21" s="171" t="str">
        <f>'(Data)'!BO40</f>
        <v>.26</v>
      </c>
      <c r="S21" s="168" t="str">
        <f>'(Data)'!BP40</f>
        <v>.27</v>
      </c>
      <c r="T21" s="168" t="str">
        <f>'(Data)'!BQ40</f>
        <v>.28</v>
      </c>
      <c r="U21" s="168" t="str">
        <f>'(Data)'!BR40</f>
        <v>.29</v>
      </c>
      <c r="V21" s="168">
        <f>'(Data)'!BS40</f>
        <v>0</v>
      </c>
      <c r="W21" s="168">
        <f>'(Data)'!BT40</f>
        <v>0</v>
      </c>
      <c r="X21" s="2"/>
      <c r="Y21" s="168" t="str">
        <f>'(Data)'!BN55</f>
        <v>.26</v>
      </c>
      <c r="Z21" s="171" t="str">
        <f>'(Data)'!BO55</f>
        <v>.27</v>
      </c>
      <c r="AA21" s="168" t="str">
        <f>'(Data)'!BP55</f>
        <v>.28</v>
      </c>
      <c r="AB21" s="168" t="str">
        <f>'(Data)'!BQ55</f>
        <v>.29</v>
      </c>
      <c r="AC21" s="168" t="str">
        <f>'(Data)'!BR55</f>
        <v>.30</v>
      </c>
      <c r="AD21" s="168" t="str">
        <f>'(Data)'!BS55</f>
        <v>.31</v>
      </c>
      <c r="AE21" s="168">
        <f>'(Data)'!BT55</f>
        <v>0</v>
      </c>
    </row>
    <row r="22" ht="12.75">
      <c r="AF22" s="2"/>
    </row>
    <row r="23" spans="1:32" ht="17.25" customHeight="1">
      <c r="A23" s="12" t="s">
        <v>61</v>
      </c>
      <c r="B23" s="12"/>
      <c r="C23" s="12"/>
      <c r="D23" s="12"/>
      <c r="E23" s="12"/>
      <c r="F23" s="12"/>
      <c r="G23" s="12"/>
      <c r="H23" s="12"/>
      <c r="I23" s="12" t="s">
        <v>62</v>
      </c>
      <c r="J23" s="12"/>
      <c r="K23" s="12"/>
      <c r="L23" s="12"/>
      <c r="M23" s="12"/>
      <c r="N23" s="12"/>
      <c r="O23" s="12"/>
      <c r="P23" s="12"/>
      <c r="Q23" s="12" t="s">
        <v>63</v>
      </c>
      <c r="R23" s="12"/>
      <c r="S23" s="12"/>
      <c r="T23" s="12"/>
      <c r="U23" s="12"/>
      <c r="V23" s="12"/>
      <c r="W23" s="12"/>
      <c r="X23" s="12"/>
      <c r="Y23" s="12" t="s">
        <v>64</v>
      </c>
      <c r="Z23" s="6"/>
      <c r="AA23" s="6"/>
      <c r="AB23" s="6"/>
      <c r="AC23" s="6"/>
      <c r="AD23" s="6"/>
      <c r="AE23" s="6"/>
      <c r="AF23" s="2"/>
    </row>
    <row r="24" spans="1:31" ht="17.25" customHeight="1">
      <c r="A24" s="168">
        <f>'(Data)'!BN11</f>
        <v>0</v>
      </c>
      <c r="B24" s="168">
        <f>'(Data)'!BO11</f>
        <v>0</v>
      </c>
      <c r="C24" s="168">
        <f>'(Data)'!BP11</f>
        <v>0</v>
      </c>
      <c r="D24" s="168">
        <f>'(Data)'!BQ11</f>
        <v>0</v>
      </c>
      <c r="E24" s="168">
        <f>'(Data)'!BR11</f>
        <v>0</v>
      </c>
      <c r="F24" s="168" t="str">
        <f>'(Data)'!BS11</f>
        <v>.1</v>
      </c>
      <c r="G24" s="168" t="str">
        <f>'(Data)'!BT11</f>
        <v>.2</v>
      </c>
      <c r="H24" s="2"/>
      <c r="I24" s="168" t="str">
        <f>'(Data)'!BN26</f>
        <v>.31</v>
      </c>
      <c r="J24" s="168">
        <f>'(Data)'!BO26</f>
        <v>0</v>
      </c>
      <c r="K24" s="168">
        <f>'(Data)'!BP26</f>
        <v>0</v>
      </c>
      <c r="L24" s="168">
        <f>'(Data)'!BQ26</f>
        <v>0</v>
      </c>
      <c r="M24" s="168">
        <f>'(Data)'!BR26</f>
        <v>0</v>
      </c>
      <c r="N24" s="168" t="str">
        <f>'(Data)'!BS26</f>
        <v>.1</v>
      </c>
      <c r="O24" s="168" t="str">
        <f>'(Data)'!BT26</f>
        <v>.2</v>
      </c>
      <c r="P24" s="2"/>
      <c r="Q24" s="168" t="str">
        <f>'(Data)'!BN41</f>
        <v>.31</v>
      </c>
      <c r="R24" s="168">
        <f>'(Data)'!BO41</f>
        <v>0</v>
      </c>
      <c r="S24" s="168">
        <f>'(Data)'!BP41</f>
        <v>0</v>
      </c>
      <c r="T24" s="168">
        <f>'(Data)'!BQ41</f>
        <v>0</v>
      </c>
      <c r="U24" s="168">
        <f>'(Data)'!BR41</f>
        <v>0</v>
      </c>
      <c r="V24" s="168" t="str">
        <f>'(Data)'!BS41</f>
        <v>.1</v>
      </c>
      <c r="W24" s="168" t="str">
        <f>'(Data)'!BT41</f>
        <v>.2</v>
      </c>
      <c r="X24" s="2"/>
      <c r="Y24" s="168" t="str">
        <f>'(Data)'!BN56</f>
        <v>.30</v>
      </c>
      <c r="Z24" s="168">
        <f>'(Data)'!BO56</f>
        <v>0</v>
      </c>
      <c r="AA24" s="168">
        <f>'(Data)'!BP56</f>
        <v>0</v>
      </c>
      <c r="AB24" s="168">
        <f>'(Data)'!BQ56</f>
        <v>0</v>
      </c>
      <c r="AC24" s="168">
        <f>'(Data)'!BR56</f>
        <v>0</v>
      </c>
      <c r="AD24" s="168">
        <f>'(Data)'!BS56</f>
        <v>0</v>
      </c>
      <c r="AE24" s="168" t="str">
        <f>'(Data)'!BT56</f>
        <v>.1</v>
      </c>
    </row>
    <row r="25" spans="1:31" ht="17.25" customHeight="1">
      <c r="A25" s="168" t="str">
        <f>'(Data)'!BN12</f>
        <v>.3</v>
      </c>
      <c r="B25" s="168" t="str">
        <f>'(Data)'!BO12</f>
        <v>.4</v>
      </c>
      <c r="C25" s="168" t="str">
        <f>'(Data)'!BP12</f>
        <v>.5</v>
      </c>
      <c r="D25" s="168" t="str">
        <f>'(Data)'!BQ12</f>
        <v>.6</v>
      </c>
      <c r="E25" s="168" t="str">
        <f>'(Data)'!BR12</f>
        <v>.7</v>
      </c>
      <c r="F25" s="169" t="str">
        <f>'(Data)'!BS12</f>
        <v>.8</v>
      </c>
      <c r="G25" s="168" t="str">
        <f>'(Data)'!BT12</f>
        <v>.9</v>
      </c>
      <c r="H25" s="2"/>
      <c r="I25" s="168" t="str">
        <f>'(Data)'!BN27</f>
        <v>.3</v>
      </c>
      <c r="J25" s="168" t="str">
        <f>'(Data)'!BO27</f>
        <v>.4</v>
      </c>
      <c r="K25" s="168" t="str">
        <f>'(Data)'!BP27</f>
        <v>.5</v>
      </c>
      <c r="L25" s="168" t="str">
        <f>'(Data)'!BQ27</f>
        <v>.6</v>
      </c>
      <c r="M25" s="168" t="str">
        <f>'(Data)'!BR27</f>
        <v>.7</v>
      </c>
      <c r="N25" s="169" t="str">
        <f>'(Data)'!BS27</f>
        <v>.8</v>
      </c>
      <c r="O25" s="168" t="str">
        <f>'(Data)'!BT27</f>
        <v>.9</v>
      </c>
      <c r="P25" s="2"/>
      <c r="Q25" s="168" t="str">
        <f>'(Data)'!BN42</f>
        <v>.3</v>
      </c>
      <c r="R25" s="168" t="str">
        <f>'(Data)'!BO42</f>
        <v>.4</v>
      </c>
      <c r="S25" s="168" t="str">
        <f>'(Data)'!BP42</f>
        <v>.5</v>
      </c>
      <c r="T25" s="168" t="str">
        <f>'(Data)'!BQ42</f>
        <v>.6</v>
      </c>
      <c r="U25" s="168" t="str">
        <f>'(Data)'!BR42</f>
        <v>.7</v>
      </c>
      <c r="V25" s="169" t="str">
        <f>'(Data)'!BS42</f>
        <v>.8</v>
      </c>
      <c r="W25" s="168" t="str">
        <f>'(Data)'!BT42</f>
        <v>.9</v>
      </c>
      <c r="X25" s="2"/>
      <c r="Y25" s="168" t="str">
        <f>'(Data)'!BN57</f>
        <v>.2</v>
      </c>
      <c r="Z25" s="168" t="str">
        <f>'(Data)'!BO57</f>
        <v>.3</v>
      </c>
      <c r="AA25" s="168" t="str">
        <f>'(Data)'!BP57</f>
        <v>.4</v>
      </c>
      <c r="AB25" s="168" t="str">
        <f>'(Data)'!BQ57</f>
        <v>.5</v>
      </c>
      <c r="AC25" s="168" t="str">
        <f>'(Data)'!BR57</f>
        <v>.6</v>
      </c>
      <c r="AD25" s="169" t="str">
        <f>'(Data)'!BS57</f>
        <v>.7</v>
      </c>
      <c r="AE25" s="168" t="str">
        <f>'(Data)'!BT57</f>
        <v>.8</v>
      </c>
    </row>
    <row r="26" spans="1:31" ht="17.25" customHeight="1">
      <c r="A26" s="168" t="str">
        <f>'(Data)'!BN13</f>
        <v>.10</v>
      </c>
      <c r="B26" s="170" t="str">
        <f>'(Data)'!BO13</f>
        <v>.11</v>
      </c>
      <c r="C26" s="168" t="str">
        <f>'(Data)'!BP13</f>
        <v>.12</v>
      </c>
      <c r="D26" s="168" t="str">
        <f>'(Data)'!BQ13</f>
        <v>.13</v>
      </c>
      <c r="E26" s="168" t="str">
        <f>'(Data)'!BR13</f>
        <v>.14</v>
      </c>
      <c r="F26" s="168" t="str">
        <f>'(Data)'!BS13</f>
        <v>.15</v>
      </c>
      <c r="G26" s="168" t="str">
        <f>'(Data)'!BT13</f>
        <v>.16</v>
      </c>
      <c r="H26" s="2"/>
      <c r="I26" s="168" t="str">
        <f>'(Data)'!BN28</f>
        <v>.10</v>
      </c>
      <c r="J26" s="170" t="str">
        <f>'(Data)'!BO28</f>
        <v>.11</v>
      </c>
      <c r="K26" s="168" t="str">
        <f>'(Data)'!BP28</f>
        <v>.12</v>
      </c>
      <c r="L26" s="168" t="str">
        <f>'(Data)'!BQ28</f>
        <v>.13</v>
      </c>
      <c r="M26" s="168" t="str">
        <f>'(Data)'!BR28</f>
        <v>.14</v>
      </c>
      <c r="N26" s="168" t="str">
        <f>'(Data)'!BS28</f>
        <v>.15</v>
      </c>
      <c r="O26" s="168" t="str">
        <f>'(Data)'!BT28</f>
        <v>.16</v>
      </c>
      <c r="P26" s="2"/>
      <c r="Q26" s="168" t="str">
        <f>'(Data)'!BN43</f>
        <v>.10</v>
      </c>
      <c r="R26" s="170" t="str">
        <f>'(Data)'!BO43</f>
        <v>.11</v>
      </c>
      <c r="S26" s="168" t="str">
        <f>'(Data)'!BP43</f>
        <v>.12</v>
      </c>
      <c r="T26" s="168" t="str">
        <f>'(Data)'!BQ43</f>
        <v>.13</v>
      </c>
      <c r="U26" s="168" t="str">
        <f>'(Data)'!BR43</f>
        <v>.14</v>
      </c>
      <c r="V26" s="168" t="str">
        <f>'(Data)'!BS43</f>
        <v>.15</v>
      </c>
      <c r="W26" s="168" t="str">
        <f>'(Data)'!BT43</f>
        <v>.16</v>
      </c>
      <c r="X26" s="2"/>
      <c r="Y26" s="168" t="str">
        <f>'(Data)'!BN58</f>
        <v>.9</v>
      </c>
      <c r="Z26" s="170" t="str">
        <f>'(Data)'!BO58</f>
        <v>.10</v>
      </c>
      <c r="AA26" s="168" t="str">
        <f>'(Data)'!BP58</f>
        <v>.11</v>
      </c>
      <c r="AB26" s="168" t="str">
        <f>'(Data)'!BQ58</f>
        <v>.12</v>
      </c>
      <c r="AC26" s="168" t="str">
        <f>'(Data)'!BR58</f>
        <v>.13</v>
      </c>
      <c r="AD26" s="168" t="str">
        <f>'(Data)'!BS58</f>
        <v>.14</v>
      </c>
      <c r="AE26" s="168" t="str">
        <f>'(Data)'!BT58</f>
        <v>.15</v>
      </c>
    </row>
    <row r="27" spans="1:31" ht="17.25" customHeight="1">
      <c r="A27" s="168" t="str">
        <f>'(Data)'!BN14</f>
        <v>.17</v>
      </c>
      <c r="B27" s="168" t="str">
        <f>'(Data)'!BO14</f>
        <v>.18</v>
      </c>
      <c r="C27" s="168" t="str">
        <f>'(Data)'!BP14</f>
        <v>.19</v>
      </c>
      <c r="D27" s="170" t="str">
        <f>'(Data)'!BQ14</f>
        <v>.20</v>
      </c>
      <c r="E27" s="168" t="str">
        <f>'(Data)'!BR14</f>
        <v>.21</v>
      </c>
      <c r="F27" s="168" t="str">
        <f>'(Data)'!BS14</f>
        <v>.22</v>
      </c>
      <c r="G27" s="168" t="str">
        <f>'(Data)'!BT14</f>
        <v>.23</v>
      </c>
      <c r="H27" s="2"/>
      <c r="I27" s="168" t="str">
        <f>'(Data)'!BN29</f>
        <v>.17</v>
      </c>
      <c r="J27" s="168" t="str">
        <f>'(Data)'!BO29</f>
        <v>.18</v>
      </c>
      <c r="K27" s="168" t="str">
        <f>'(Data)'!BP29</f>
        <v>.19</v>
      </c>
      <c r="L27" s="170" t="str">
        <f>'(Data)'!BQ29</f>
        <v>.20</v>
      </c>
      <c r="M27" s="168" t="str">
        <f>'(Data)'!BR29</f>
        <v>.21</v>
      </c>
      <c r="N27" s="168" t="str">
        <f>'(Data)'!BS29</f>
        <v>.22</v>
      </c>
      <c r="O27" s="168" t="str">
        <f>'(Data)'!BT29</f>
        <v>.23</v>
      </c>
      <c r="P27" s="2"/>
      <c r="Q27" s="168" t="str">
        <f>'(Data)'!BN44</f>
        <v>.17</v>
      </c>
      <c r="R27" s="168" t="str">
        <f>'(Data)'!BO44</f>
        <v>.18</v>
      </c>
      <c r="S27" s="168" t="str">
        <f>'(Data)'!BP44</f>
        <v>.19</v>
      </c>
      <c r="T27" s="170" t="str">
        <f>'(Data)'!BQ44</f>
        <v>.20</v>
      </c>
      <c r="U27" s="168" t="str">
        <f>'(Data)'!BR44</f>
        <v>.21</v>
      </c>
      <c r="V27" s="168" t="str">
        <f>'(Data)'!BS44</f>
        <v>.22</v>
      </c>
      <c r="W27" s="168" t="str">
        <f>'(Data)'!BT44</f>
        <v>.23</v>
      </c>
      <c r="X27" s="2"/>
      <c r="Y27" s="168" t="str">
        <f>'(Data)'!BN59</f>
        <v>.16</v>
      </c>
      <c r="Z27" s="168" t="str">
        <f>'(Data)'!BO59</f>
        <v>.17</v>
      </c>
      <c r="AA27" s="168" t="str">
        <f>'(Data)'!BP59</f>
        <v>.18</v>
      </c>
      <c r="AB27" s="170" t="str">
        <f>'(Data)'!BQ59</f>
        <v>.19</v>
      </c>
      <c r="AC27" s="168" t="str">
        <f>'(Data)'!BR59</f>
        <v>.20</v>
      </c>
      <c r="AD27" s="168" t="str">
        <f>'(Data)'!BS59</f>
        <v>.21</v>
      </c>
      <c r="AE27" s="168" t="str">
        <f>'(Data)'!BT59</f>
        <v>.22</v>
      </c>
    </row>
    <row r="28" spans="1:31" ht="17.25" customHeight="1">
      <c r="A28" s="168" t="str">
        <f>'(Data)'!BN15</f>
        <v>.24</v>
      </c>
      <c r="B28" s="171" t="str">
        <f>'(Data)'!BO15</f>
        <v>.25</v>
      </c>
      <c r="C28" s="168" t="str">
        <f>'(Data)'!BP15</f>
        <v>.26</v>
      </c>
      <c r="D28" s="168" t="str">
        <f>'(Data)'!BQ15</f>
        <v>.27</v>
      </c>
      <c r="E28" s="168" t="str">
        <f>'(Data)'!BR15</f>
        <v>.28</v>
      </c>
      <c r="F28" s="168" t="str">
        <f>'(Data)'!BS15</f>
        <v>.29</v>
      </c>
      <c r="G28" s="168" t="str">
        <f>'(Data)'!BT15</f>
        <v>.30</v>
      </c>
      <c r="H28" s="2"/>
      <c r="I28" s="168" t="str">
        <f>'(Data)'!BN30</f>
        <v>.24</v>
      </c>
      <c r="J28" s="171" t="str">
        <f>'(Data)'!BO30</f>
        <v>.25</v>
      </c>
      <c r="K28" s="168" t="str">
        <f>'(Data)'!BP30</f>
        <v>.26</v>
      </c>
      <c r="L28" s="168" t="str">
        <f>'(Data)'!BQ30</f>
        <v>.27</v>
      </c>
      <c r="M28" s="168" t="str">
        <f>'(Data)'!BR30</f>
        <v>.28</v>
      </c>
      <c r="N28" s="168" t="str">
        <f>'(Data)'!BS30</f>
        <v>.29</v>
      </c>
      <c r="O28" s="168" t="str">
        <f>'(Data)'!BT30</f>
        <v>.30</v>
      </c>
      <c r="P28" s="2"/>
      <c r="Q28" s="168" t="str">
        <f>'(Data)'!BN45</f>
        <v>.24</v>
      </c>
      <c r="R28" s="171" t="str">
        <f>'(Data)'!BO45</f>
        <v>.25</v>
      </c>
      <c r="S28" s="168" t="str">
        <f>'(Data)'!BP45</f>
        <v>.26</v>
      </c>
      <c r="T28" s="168" t="str">
        <f>'(Data)'!BQ45</f>
        <v>.27</v>
      </c>
      <c r="U28" s="168" t="str">
        <f>'(Data)'!BR45</f>
        <v>.28</v>
      </c>
      <c r="V28" s="168" t="str">
        <f>'(Data)'!BS45</f>
        <v>.29</v>
      </c>
      <c r="W28" s="168" t="str">
        <f>'(Data)'!BT45</f>
        <v>.30</v>
      </c>
      <c r="X28" s="2"/>
      <c r="Y28" s="168" t="str">
        <f>'(Data)'!BN60</f>
        <v>.23</v>
      </c>
      <c r="Z28" s="171" t="str">
        <f>'(Data)'!BO60</f>
        <v>.24</v>
      </c>
      <c r="AA28" s="168" t="str">
        <f>'(Data)'!BP60</f>
        <v>.25</v>
      </c>
      <c r="AB28" s="168" t="str">
        <f>'(Data)'!BQ60</f>
        <v>.26</v>
      </c>
      <c r="AC28" s="168" t="str">
        <f>'(Data)'!BR60</f>
        <v>.27</v>
      </c>
      <c r="AD28" s="168" t="str">
        <f>'(Data)'!BS60</f>
        <v>.28</v>
      </c>
      <c r="AE28" s="168" t="str">
        <f>'(Data)'!BT60</f>
        <v>.29</v>
      </c>
    </row>
    <row r="29" spans="1:31"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s="212" customFormat="1" ht="15.75">
      <c r="A30" s="211" t="s">
        <v>227</v>
      </c>
      <c r="B30" s="211"/>
      <c r="C30" s="211"/>
      <c r="F30" s="891">
        <f>COUNTIF(A10:G14,"&gt;0")+COUNTIF(A17:G21,"&gt;0")+COUNTIF(A24:G28,"&gt;0")+COUNTIF(A10:G14,"&gt;'&lt;'")+COUNTIF(A17:G21,"&gt;'&lt;'")+COUNTIF(A24:G28,"&gt;'&lt;'")-COUNTIF(A10:G14,"&gt;a")-COUNTIF(A17:G21,"&gt;a")-COUNTIF(A24:G28,"&gt;a")</f>
        <v>0</v>
      </c>
      <c r="G30" s="891"/>
      <c r="H30" s="213"/>
      <c r="I30" s="211" t="s">
        <v>226</v>
      </c>
      <c r="J30" s="211"/>
      <c r="K30" s="211"/>
      <c r="N30" s="891">
        <f>COUNTIF(I10:O14,"&gt;0")+COUNTIF(I17:O21,"&gt;0")+COUNTIF(I24:O28,"&gt;0")+COUNTIF(I10:O14,"&gt;'&lt;'")+COUNTIF(I17:O21,"&gt;'&lt;'")+COUNTIF(I24:O28,"&gt;'&lt;'")-COUNTIF(I10:O14,"&gt;a")-COUNTIF(I17:O21,"&gt;a")-COUNTIF(I24:O28,"&gt;a")</f>
        <v>0</v>
      </c>
      <c r="O30" s="891"/>
      <c r="P30" s="213"/>
      <c r="Q30" s="211" t="s">
        <v>228</v>
      </c>
      <c r="R30" s="211"/>
      <c r="S30" s="211"/>
      <c r="V30" s="891">
        <f>COUNTIF(Q10:W14,"&gt;0")+COUNTIF(Q17:W21,"&gt;0")+COUNTIF(Q24:W28,"&gt;0")+COUNTIF(Q10:W14,"&gt;'&lt;'")+COUNTIF(Q17:W21,"&gt;'&lt;'")+COUNTIF(Q24:W28,"&gt;'&lt;'")-COUNTIF(Q10:W14,"&gt;a")-COUNTIF(Q17:W21,"&gt;a")-COUNTIF(Q24:W28,"&gt;a")</f>
        <v>0</v>
      </c>
      <c r="W30" s="891"/>
      <c r="X30" s="213"/>
      <c r="Y30" s="211" t="s">
        <v>229</v>
      </c>
      <c r="Z30" s="211"/>
      <c r="AA30" s="211"/>
      <c r="AD30" s="891">
        <f>COUNTIF(Y10:AE14,"&gt;0")+COUNTIF(Y17:AE21,"&gt;0")+COUNTIF(Y24:AE28,"&gt;0")+COUNTIF(Y10:AE14,"&gt;'&lt;'")+COUNTIF(Y17:AE21,"&gt;'&lt;'")+COUNTIF(Y24:AE28,"&gt;'&lt;'")-COUNTIF(Y10:AE14,"&gt;a")-COUNTIF(Y17:AE21,"&gt;a")-COUNTIF(Y24:AE28,"&gt;a")</f>
        <v>0</v>
      </c>
      <c r="AE30" s="891"/>
    </row>
    <row r="31" spans="1:31"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s="167" customFormat="1" ht="12.75">
      <c r="A32" s="4" t="s">
        <v>225</v>
      </c>
      <c r="B32" s="4"/>
      <c r="C32" s="4"/>
      <c r="D32" s="225" t="s">
        <v>230</v>
      </c>
      <c r="E32" s="4"/>
      <c r="F32" s="4"/>
      <c r="G32" s="4"/>
      <c r="H32" s="4"/>
      <c r="J32" s="176" t="s">
        <v>267</v>
      </c>
      <c r="K32" s="4"/>
      <c r="L32" s="4"/>
      <c r="M32" s="4"/>
      <c r="N32" s="228"/>
      <c r="P32" s="4"/>
      <c r="Q32" s="4"/>
      <c r="S32" s="4"/>
      <c r="V32" s="176" t="s">
        <v>231</v>
      </c>
      <c r="X32" s="4"/>
      <c r="Z32" s="176" t="s">
        <v>253</v>
      </c>
      <c r="AB32" s="4"/>
      <c r="AC32" s="4"/>
      <c r="AD32" s="4"/>
      <c r="AE32" s="4"/>
    </row>
  </sheetData>
  <sheetProtection password="860F" sheet="1" objects="1" scenarios="1" selectLockedCells="1"/>
  <mergeCells count="16">
    <mergeCell ref="A2:AE2"/>
    <mergeCell ref="A16:B16"/>
    <mergeCell ref="Q7:W7"/>
    <mergeCell ref="A9:B9"/>
    <mergeCell ref="Y7:AE7"/>
    <mergeCell ref="A7:G7"/>
    <mergeCell ref="I7:O7"/>
    <mergeCell ref="AB3:AE3"/>
    <mergeCell ref="A3:D3"/>
    <mergeCell ref="AD30:AE30"/>
    <mergeCell ref="F3:P3"/>
    <mergeCell ref="F30:G30"/>
    <mergeCell ref="N30:O30"/>
    <mergeCell ref="V30:W30"/>
    <mergeCell ref="F5:P5"/>
    <mergeCell ref="AB5:AE5"/>
  </mergeCells>
  <conditionalFormatting sqref="A10:G14 A17:G21 A24:G28 I10:O14 I17:O21 I24:O28 Q10:W14 Q17:W21 Q24:W28 Y10:AE14 Y17:AE21 Y24:AE28">
    <cfRule type="cellIs" priority="1" dxfId="1" operator="between" stopIfTrue="1">
      <formula>"a"</formula>
      <formula>"Z"</formula>
    </cfRule>
    <cfRule type="cellIs" priority="2" dxfId="0" operator="between" stopIfTrue="1">
      <formula>"""{"""</formula>
      <formula>"{Z"</formula>
    </cfRule>
  </conditionalFormatting>
  <printOptions/>
  <pageMargins left="0.45" right="0.25" top="0" bottom="0" header="0" footer="0"/>
  <pageSetup fitToHeight="1" fitToWidth="1" horizontalDpi="600" verticalDpi="600" orientation="landscape" r:id="rId1"/>
  <headerFooter alignWithMargins="0">
    <oddFooter>&amp;LNSES Budget Template - Approved&amp;C01/2023&amp;RResidential Calendar</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AF32"/>
  <sheetViews>
    <sheetView showGridLines="0" showZeros="0" zoomScalePageLayoutView="0" workbookViewId="0" topLeftCell="A1">
      <selection activeCell="L14" sqref="L14"/>
    </sheetView>
  </sheetViews>
  <sheetFormatPr defaultColWidth="9.140625" defaultRowHeight="12.75"/>
  <cols>
    <col min="1" max="2" width="3.7109375" style="0" customWidth="1"/>
    <col min="3" max="3" width="4.00390625" style="0" customWidth="1"/>
    <col min="4" max="7" width="3.7109375" style="0" customWidth="1"/>
    <col min="9" max="15" width="3.7109375" style="0" customWidth="1"/>
    <col min="17" max="23" width="3.7109375" style="0" customWidth="1"/>
    <col min="25" max="31" width="3.7109375" style="0" customWidth="1"/>
  </cols>
  <sheetData>
    <row r="1" spans="1:31" s="141" customFormat="1" ht="15.75">
      <c r="A1" s="140" t="str">
        <f>"FY "&amp;clFiscalYear&amp;" - Program Calendar - Extended School Year (ESY)"</f>
        <v>FY 2024 - Program Calendar - Extended School Year (ESY)</v>
      </c>
      <c r="C1" s="142"/>
      <c r="D1" s="143"/>
      <c r="E1" s="143"/>
      <c r="F1" s="143"/>
      <c r="G1" s="144"/>
      <c r="H1" s="145"/>
      <c r="I1" s="145"/>
      <c r="J1" s="145"/>
      <c r="L1" s="145"/>
      <c r="M1" s="145"/>
      <c r="Q1" s="433" t="s">
        <v>713</v>
      </c>
      <c r="AE1" s="220"/>
    </row>
    <row r="2" spans="1:31" ht="4.5" customHeight="1">
      <c r="A2" s="883"/>
      <c r="B2" s="883"/>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row>
    <row r="3" spans="1:32" ht="15.75">
      <c r="A3" s="889" t="s">
        <v>86</v>
      </c>
      <c r="B3" s="889"/>
      <c r="C3" s="889"/>
      <c r="D3" s="890"/>
      <c r="F3" s="887">
        <f>IF(clSchoolName="","",clSchoolName)</f>
      </c>
      <c r="G3" s="888"/>
      <c r="H3" s="888"/>
      <c r="I3" s="888"/>
      <c r="J3" s="888"/>
      <c r="K3" s="888"/>
      <c r="L3" s="888"/>
      <c r="M3" s="888"/>
      <c r="N3" s="888"/>
      <c r="O3" s="888"/>
      <c r="P3" s="888"/>
      <c r="X3" s="210" t="s">
        <v>259</v>
      </c>
      <c r="Y3" s="173"/>
      <c r="Z3" s="173"/>
      <c r="AA3" s="173"/>
      <c r="AB3" s="887">
        <f>clTotDaysESY</f>
        <v>0</v>
      </c>
      <c r="AC3" s="888"/>
      <c r="AD3" s="888"/>
      <c r="AE3" s="888"/>
      <c r="AF3" s="2"/>
    </row>
    <row r="4" spans="18:32" ht="3.75" customHeight="1">
      <c r="R4" s="174"/>
      <c r="S4" s="174"/>
      <c r="T4" s="174"/>
      <c r="U4" s="175"/>
      <c r="V4" s="174"/>
      <c r="AF4" s="2"/>
    </row>
    <row r="5" spans="1:31" ht="15.75">
      <c r="A5" s="210" t="s">
        <v>65</v>
      </c>
      <c r="B5" s="4"/>
      <c r="C5" s="4"/>
      <c r="F5" s="887">
        <f>IF(clProgramName="","",clProgramName)</f>
      </c>
      <c r="G5" s="888"/>
      <c r="H5" s="888"/>
      <c r="I5" s="888"/>
      <c r="J5" s="888"/>
      <c r="K5" s="888"/>
      <c r="L5" s="888"/>
      <c r="M5" s="888"/>
      <c r="N5" s="888"/>
      <c r="O5" s="888"/>
      <c r="P5" s="888"/>
      <c r="Q5" s="4"/>
      <c r="R5" s="4"/>
      <c r="S5" s="4"/>
      <c r="T5" s="4"/>
      <c r="U5" s="4"/>
      <c r="V5" s="4"/>
      <c r="W5" s="4"/>
      <c r="X5" s="210" t="s">
        <v>416</v>
      </c>
      <c r="Y5" s="4"/>
      <c r="Z5" s="4"/>
      <c r="AA5" s="4"/>
      <c r="AB5" s="887">
        <f>IF(COUNTIF(A10:G14,"&gt;0")+COUNTIF(A10:G14,"&gt;'&lt;'")&gt;0,1,0)+IF(COUNTIF(A17:G21,"&gt;0")+COUNTIF(A17:G21,"&gt;'&lt;'")&gt;0,1,0)+IF(COUNTIF(A24:G28,"&gt;0")+COUNTIF(A24:G28,"&gt;'&lt;'")&gt;0,1,0)+IF(COUNTIF(I10:O14,"&gt;0")+COUNTIF(I10:O14,"&gt;'&lt;'")&gt;0,1,0)+IF(COUNTIF(I17:O21,"&gt;0")+COUNTIF(I17:O21,"&gt;'&lt;'")&gt;0,1,0)+IF(COUNTIF(I24:O28,"&gt;0")+COUNTIF(I24:O28,"&gt;'&lt;'")&gt;0,1,0)+IF(COUNTIF(Q10:W14,"&gt;0")+COUNTIF(Q10:W14,"&gt;'&lt;'")&gt;0,1,0)+IF(COUNTIF(Q17:W21,"&gt;0")+COUNTIF(Q17:W21,"&gt;'&lt;'")&gt;0,1,0)+IF(COUNTIF(Q24:W28,"&gt;0")+COUNTIF(Q24:W28,"&gt;'&lt;'")&gt;0,1,0)+IF(COUNTIF(Y10:AE14,"&gt;0")+COUNTIF(Y10:AE14,"&gt;'&lt;'")&gt;0,1,0)+IF(COUNTIF(Y17:AE21,"&gt;0")+COUNTIF(Y17:AE21,"&gt;'&lt;'")&gt;0,1,0)+IF(COUNTIF(Y24:AE28,"&gt;0")+COUNTIF(Y24:AE28,"&gt;'&lt;'")&gt;0,1,0)</f>
        <v>0</v>
      </c>
      <c r="AC5" s="888"/>
      <c r="AD5" s="888"/>
      <c r="AE5" s="888"/>
    </row>
    <row r="6" spans="1:31"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885" t="s">
        <v>44</v>
      </c>
      <c r="B7" s="886"/>
      <c r="C7" s="886"/>
      <c r="D7" s="886"/>
      <c r="E7" s="886"/>
      <c r="F7" s="886"/>
      <c r="G7" s="886"/>
      <c r="H7" s="4"/>
      <c r="I7" s="885" t="s">
        <v>45</v>
      </c>
      <c r="J7" s="885"/>
      <c r="K7" s="885"/>
      <c r="L7" s="885"/>
      <c r="M7" s="885"/>
      <c r="N7" s="885"/>
      <c r="O7" s="885"/>
      <c r="P7" s="4"/>
      <c r="Q7" s="885" t="s">
        <v>46</v>
      </c>
      <c r="R7" s="885"/>
      <c r="S7" s="885"/>
      <c r="T7" s="885"/>
      <c r="U7" s="885"/>
      <c r="V7" s="885"/>
      <c r="W7" s="885"/>
      <c r="X7" s="4"/>
      <c r="Y7" s="885" t="s">
        <v>47</v>
      </c>
      <c r="Z7" s="885"/>
      <c r="AA7" s="885"/>
      <c r="AB7" s="885"/>
      <c r="AC7" s="885"/>
      <c r="AD7" s="885"/>
      <c r="AE7" s="885"/>
    </row>
    <row r="8" spans="1:31" s="5" customFormat="1" ht="12" customHeight="1">
      <c r="A8" s="10" t="s">
        <v>52</v>
      </c>
      <c r="B8" s="11" t="s">
        <v>53</v>
      </c>
      <c r="C8" s="11" t="s">
        <v>54</v>
      </c>
      <c r="D8" s="11" t="s">
        <v>55</v>
      </c>
      <c r="E8" s="11" t="s">
        <v>54</v>
      </c>
      <c r="F8" s="11" t="s">
        <v>56</v>
      </c>
      <c r="G8" s="11" t="s">
        <v>52</v>
      </c>
      <c r="H8" s="11"/>
      <c r="I8" s="11" t="s">
        <v>52</v>
      </c>
      <c r="J8" s="11" t="s">
        <v>53</v>
      </c>
      <c r="K8" s="11" t="s">
        <v>54</v>
      </c>
      <c r="L8" s="11" t="s">
        <v>55</v>
      </c>
      <c r="M8" s="11" t="s">
        <v>54</v>
      </c>
      <c r="N8" s="11" t="s">
        <v>56</v>
      </c>
      <c r="O8" s="11" t="s">
        <v>52</v>
      </c>
      <c r="P8" s="11"/>
      <c r="Q8" s="11" t="s">
        <v>52</v>
      </c>
      <c r="R8" s="10" t="s">
        <v>53</v>
      </c>
      <c r="S8" s="11" t="s">
        <v>54</v>
      </c>
      <c r="T8" s="11" t="s">
        <v>55</v>
      </c>
      <c r="U8" s="11" t="s">
        <v>54</v>
      </c>
      <c r="V8" s="11" t="s">
        <v>56</v>
      </c>
      <c r="W8" s="11" t="s">
        <v>52</v>
      </c>
      <c r="X8" s="11"/>
      <c r="Y8" s="10" t="s">
        <v>52</v>
      </c>
      <c r="Z8" s="10" t="s">
        <v>53</v>
      </c>
      <c r="AA8" s="10" t="s">
        <v>54</v>
      </c>
      <c r="AB8" s="10" t="s">
        <v>55</v>
      </c>
      <c r="AC8" s="10" t="s">
        <v>54</v>
      </c>
      <c r="AD8" s="10" t="s">
        <v>56</v>
      </c>
      <c r="AE8" s="10" t="s">
        <v>52</v>
      </c>
    </row>
    <row r="9" spans="1:31" ht="12.75">
      <c r="A9" s="799" t="s">
        <v>48</v>
      </c>
      <c r="B9" s="799"/>
      <c r="C9" s="4"/>
      <c r="D9" s="4"/>
      <c r="E9" s="2"/>
      <c r="F9" s="2"/>
      <c r="G9" s="2"/>
      <c r="H9" s="2"/>
      <c r="I9" s="12" t="s">
        <v>49</v>
      </c>
      <c r="J9" s="12"/>
      <c r="K9" s="1"/>
      <c r="L9" s="1"/>
      <c r="M9" s="1"/>
      <c r="N9" s="1"/>
      <c r="O9" s="1"/>
      <c r="P9" s="1"/>
      <c r="Q9" s="12" t="s">
        <v>50</v>
      </c>
      <c r="R9" s="3"/>
      <c r="S9" s="1"/>
      <c r="T9" s="1"/>
      <c r="U9" s="1"/>
      <c r="V9" s="1"/>
      <c r="W9" s="1"/>
      <c r="X9" s="1"/>
      <c r="Y9" s="3" t="s">
        <v>51</v>
      </c>
      <c r="Z9" s="7"/>
      <c r="AA9" s="8"/>
      <c r="AB9" s="8"/>
      <c r="AC9" s="8"/>
      <c r="AD9" s="8"/>
      <c r="AE9" s="8"/>
    </row>
    <row r="10" spans="1:31" ht="17.25" customHeight="1">
      <c r="A10" s="168" t="str">
        <f>'(Data)'!BU1</f>
        <v>.30</v>
      </c>
      <c r="B10" s="168" t="str">
        <f>'(Data)'!BV1</f>
        <v>.31</v>
      </c>
      <c r="C10" s="168">
        <f>'(Data)'!BW1</f>
        <v>0</v>
      </c>
      <c r="D10" s="168">
        <f>'(Data)'!BX1</f>
        <v>0</v>
      </c>
      <c r="E10" s="168">
        <f>'(Data)'!BY1</f>
        <v>0</v>
      </c>
      <c r="F10" s="168">
        <f>'(Data)'!BZ1</f>
        <v>0</v>
      </c>
      <c r="G10" s="168" t="str">
        <f>'(Data)'!CA1</f>
        <v>.1</v>
      </c>
      <c r="H10" s="2"/>
      <c r="I10" s="168" t="str">
        <f>'(Data)'!BU16</f>
        <v>.1</v>
      </c>
      <c r="J10" s="168" t="str">
        <f>'(Data)'!BV16</f>
        <v>.2</v>
      </c>
      <c r="K10" s="168" t="str">
        <f>'(Data)'!BW16</f>
        <v>.3</v>
      </c>
      <c r="L10" s="168" t="str">
        <f>'(Data)'!BX16</f>
        <v>.4</v>
      </c>
      <c r="M10" s="168" t="str">
        <f>'(Data)'!BY16</f>
        <v>.5</v>
      </c>
      <c r="N10" s="168" t="str">
        <f>'(Data)'!BZ16</f>
        <v>.6</v>
      </c>
      <c r="O10" s="168" t="str">
        <f>'(Data)'!CA16</f>
        <v>.7</v>
      </c>
      <c r="P10" s="2"/>
      <c r="Q10" s="168">
        <f>'(Data)'!BU31</f>
        <v>0</v>
      </c>
      <c r="R10" s="168" t="str">
        <f>'(Data)'!BV31</f>
        <v>.1</v>
      </c>
      <c r="S10" s="168" t="str">
        <f>'(Data)'!BW31</f>
        <v>.2</v>
      </c>
      <c r="T10" s="168" t="str">
        <f>'(Data)'!BX31</f>
        <v>.3</v>
      </c>
      <c r="U10" s="168" t="str">
        <f>'(Data)'!BY31</f>
        <v>.4</v>
      </c>
      <c r="V10" s="168" t="str">
        <f>'(Data)'!BZ31</f>
        <v>.5</v>
      </c>
      <c r="W10" s="168" t="str">
        <f>'(Data)'!CA31</f>
        <v>.6</v>
      </c>
      <c r="X10" s="2"/>
      <c r="Y10" s="168">
        <f>'(Data)'!BU46</f>
        <v>0</v>
      </c>
      <c r="Z10" s="168" t="str">
        <f>'(Data)'!BV46</f>
        <v>.1</v>
      </c>
      <c r="AA10" s="168" t="str">
        <f>'(Data)'!BW46</f>
        <v>.2</v>
      </c>
      <c r="AB10" s="168" t="str">
        <f>'(Data)'!BX46</f>
        <v>.3</v>
      </c>
      <c r="AC10" s="168" t="str">
        <f>'(Data)'!BY46</f>
        <v>.4</v>
      </c>
      <c r="AD10" s="168" t="str">
        <f>'(Data)'!BZ46</f>
        <v>.5</v>
      </c>
      <c r="AE10" s="168" t="str">
        <f>'(Data)'!CA46</f>
        <v>.6</v>
      </c>
    </row>
    <row r="11" spans="1:31" ht="17.25" customHeight="1">
      <c r="A11" s="168" t="str">
        <f>'(Data)'!BU2</f>
        <v>.2</v>
      </c>
      <c r="B11" s="168" t="str">
        <f>'(Data)'!BV2</f>
        <v>.3</v>
      </c>
      <c r="C11" s="168" t="str">
        <f>'(Data)'!BW2</f>
        <v>.4</v>
      </c>
      <c r="D11" s="168" t="str">
        <f>'(Data)'!BX2</f>
        <v>.5</v>
      </c>
      <c r="E11" s="168" t="str">
        <f>'(Data)'!BY2</f>
        <v>.6</v>
      </c>
      <c r="F11" s="169" t="str">
        <f>'(Data)'!BZ2</f>
        <v>.7</v>
      </c>
      <c r="G11" s="168" t="str">
        <f>'(Data)'!CA2</f>
        <v>.8</v>
      </c>
      <c r="H11" s="2"/>
      <c r="I11" s="168" t="str">
        <f>'(Data)'!BU17</f>
        <v>.8</v>
      </c>
      <c r="J11" s="168" t="str">
        <f>'(Data)'!BV17</f>
        <v>.9</v>
      </c>
      <c r="K11" s="168" t="str">
        <f>'(Data)'!BW17</f>
        <v>.10</v>
      </c>
      <c r="L11" s="168" t="str">
        <f>'(Data)'!BX17</f>
        <v>.11</v>
      </c>
      <c r="M11" s="168" t="str">
        <f>'(Data)'!BY17</f>
        <v>.12</v>
      </c>
      <c r="N11" s="169" t="str">
        <f>'(Data)'!BZ17</f>
        <v>.13</v>
      </c>
      <c r="O11" s="168" t="str">
        <f>'(Data)'!CA17</f>
        <v>.14</v>
      </c>
      <c r="P11" s="2"/>
      <c r="Q11" s="168" t="str">
        <f>'(Data)'!BU32</f>
        <v>.7</v>
      </c>
      <c r="R11" s="168" t="str">
        <f>'(Data)'!BV32</f>
        <v>.8</v>
      </c>
      <c r="S11" s="168" t="str">
        <f>'(Data)'!BW32</f>
        <v>.9</v>
      </c>
      <c r="T11" s="168" t="str">
        <f>'(Data)'!BX32</f>
        <v>.10</v>
      </c>
      <c r="U11" s="168" t="str">
        <f>'(Data)'!BY32</f>
        <v>.11</v>
      </c>
      <c r="V11" s="169" t="str">
        <f>'(Data)'!BZ32</f>
        <v>.12</v>
      </c>
      <c r="W11" s="168" t="str">
        <f>'(Data)'!CA32</f>
        <v>.13</v>
      </c>
      <c r="X11" s="2"/>
      <c r="Y11" s="168" t="str">
        <f>'(Data)'!BU47</f>
        <v>.7</v>
      </c>
      <c r="Z11" s="168" t="str">
        <f>'(Data)'!BV47</f>
        <v>.8</v>
      </c>
      <c r="AA11" s="168" t="str">
        <f>'(Data)'!BW47</f>
        <v>.9</v>
      </c>
      <c r="AB11" s="168" t="str">
        <f>'(Data)'!BX47</f>
        <v>.10</v>
      </c>
      <c r="AC11" s="168" t="str">
        <f>'(Data)'!BY47</f>
        <v>.11</v>
      </c>
      <c r="AD11" s="169" t="str">
        <f>'(Data)'!BZ47</f>
        <v>.12</v>
      </c>
      <c r="AE11" s="168" t="str">
        <f>'(Data)'!CA47</f>
        <v>.13</v>
      </c>
    </row>
    <row r="12" spans="1:31" ht="17.25" customHeight="1">
      <c r="A12" s="168" t="str">
        <f>'(Data)'!BU3</f>
        <v>.9</v>
      </c>
      <c r="B12" s="170" t="str">
        <f>'(Data)'!BV3</f>
        <v>.10</v>
      </c>
      <c r="C12" s="168" t="str">
        <f>'(Data)'!BW3</f>
        <v>.11</v>
      </c>
      <c r="D12" s="168" t="str">
        <f>'(Data)'!BX3</f>
        <v>.12</v>
      </c>
      <c r="E12" s="168" t="str">
        <f>'(Data)'!BY3</f>
        <v>.13</v>
      </c>
      <c r="F12" s="168" t="str">
        <f>'(Data)'!BZ3</f>
        <v>.14</v>
      </c>
      <c r="G12" s="168" t="str">
        <f>'(Data)'!CA3</f>
        <v>.15</v>
      </c>
      <c r="H12" s="2"/>
      <c r="I12" s="168" t="str">
        <f>'(Data)'!BU18</f>
        <v>.15</v>
      </c>
      <c r="J12" s="170" t="str">
        <f>'(Data)'!BV18</f>
        <v>.16</v>
      </c>
      <c r="K12" s="168" t="str">
        <f>'(Data)'!BW18</f>
        <v>.17</v>
      </c>
      <c r="L12" s="168" t="str">
        <f>'(Data)'!BX18</f>
        <v>.18</v>
      </c>
      <c r="M12" s="168" t="str">
        <f>'(Data)'!BY18</f>
        <v>.19</v>
      </c>
      <c r="N12" s="168" t="str">
        <f>'(Data)'!BZ18</f>
        <v>.20</v>
      </c>
      <c r="O12" s="168" t="str">
        <f>'(Data)'!CA18</f>
        <v>.21</v>
      </c>
      <c r="P12" s="2"/>
      <c r="Q12" s="168" t="str">
        <f>'(Data)'!BU33</f>
        <v>.14</v>
      </c>
      <c r="R12" s="170" t="str">
        <f>'(Data)'!BV33</f>
        <v>.15</v>
      </c>
      <c r="S12" s="168" t="str">
        <f>'(Data)'!BW33</f>
        <v>.16</v>
      </c>
      <c r="T12" s="168" t="str">
        <f>'(Data)'!BX33</f>
        <v>.17</v>
      </c>
      <c r="U12" s="168" t="str">
        <f>'(Data)'!BY33</f>
        <v>.18</v>
      </c>
      <c r="V12" s="168" t="str">
        <f>'(Data)'!BZ33</f>
        <v>.19</v>
      </c>
      <c r="W12" s="168" t="str">
        <f>'(Data)'!CA33</f>
        <v>.20</v>
      </c>
      <c r="X12" s="2"/>
      <c r="Y12" s="168" t="str">
        <f>'(Data)'!BU48</f>
        <v>.14</v>
      </c>
      <c r="Z12" s="170" t="str">
        <f>'(Data)'!BV48</f>
        <v>.15</v>
      </c>
      <c r="AA12" s="168" t="str">
        <f>'(Data)'!BW48</f>
        <v>.16</v>
      </c>
      <c r="AB12" s="168" t="str">
        <f>'(Data)'!BX48</f>
        <v>.17</v>
      </c>
      <c r="AC12" s="168" t="str">
        <f>'(Data)'!BY48</f>
        <v>.18</v>
      </c>
      <c r="AD12" s="168" t="str">
        <f>'(Data)'!BZ48</f>
        <v>.19</v>
      </c>
      <c r="AE12" s="168" t="str">
        <f>'(Data)'!CA48</f>
        <v>.20</v>
      </c>
    </row>
    <row r="13" spans="1:31" ht="17.25" customHeight="1">
      <c r="A13" s="168" t="str">
        <f>'(Data)'!BU4</f>
        <v>.16</v>
      </c>
      <c r="B13" s="168" t="str">
        <f>'(Data)'!BV4</f>
        <v>.17</v>
      </c>
      <c r="C13" s="168" t="str">
        <f>'(Data)'!BW4</f>
        <v>.18</v>
      </c>
      <c r="D13" s="170" t="str">
        <f>'(Data)'!BX4</f>
        <v>.19</v>
      </c>
      <c r="E13" s="168" t="str">
        <f>'(Data)'!BY4</f>
        <v>.20</v>
      </c>
      <c r="F13" s="168" t="str">
        <f>'(Data)'!BZ4</f>
        <v>.21</v>
      </c>
      <c r="G13" s="168" t="str">
        <f>'(Data)'!CA4</f>
        <v>.22</v>
      </c>
      <c r="H13" s="2"/>
      <c r="I13" s="168" t="str">
        <f>'(Data)'!BU19</f>
        <v>.22</v>
      </c>
      <c r="J13" s="168" t="str">
        <f>'(Data)'!BV19</f>
        <v>.23</v>
      </c>
      <c r="K13" s="168" t="str">
        <f>'(Data)'!BW19</f>
        <v>.24</v>
      </c>
      <c r="L13" s="170" t="str">
        <f>'(Data)'!BX19</f>
        <v>.25</v>
      </c>
      <c r="M13" s="168" t="str">
        <f>'(Data)'!BY19</f>
        <v>.26</v>
      </c>
      <c r="N13" s="168" t="str">
        <f>'(Data)'!BZ19</f>
        <v>.27</v>
      </c>
      <c r="O13" s="168" t="str">
        <f>'(Data)'!CA19</f>
        <v>.28</v>
      </c>
      <c r="P13" s="2"/>
      <c r="Q13" s="168" t="str">
        <f>'(Data)'!BU34</f>
        <v>.21</v>
      </c>
      <c r="R13" s="168" t="str">
        <f>'(Data)'!BV34</f>
        <v>.22</v>
      </c>
      <c r="S13" s="168" t="str">
        <f>'(Data)'!BW34</f>
        <v>.23</v>
      </c>
      <c r="T13" s="170" t="str">
        <f>'(Data)'!BX34</f>
        <v>.24</v>
      </c>
      <c r="U13" s="168" t="str">
        <f>'(Data)'!BY34</f>
        <v>.25</v>
      </c>
      <c r="V13" s="168" t="str">
        <f>'(Data)'!BZ34</f>
        <v>.26</v>
      </c>
      <c r="W13" s="168" t="str">
        <f>'(Data)'!CA34</f>
        <v>.27</v>
      </c>
      <c r="X13" s="2"/>
      <c r="Y13" s="168" t="str">
        <f>'(Data)'!BU49</f>
        <v>.21</v>
      </c>
      <c r="Z13" s="168" t="str">
        <f>'(Data)'!BV49</f>
        <v>.22</v>
      </c>
      <c r="AA13" s="168" t="str">
        <f>'(Data)'!BW49</f>
        <v>.23</v>
      </c>
      <c r="AB13" s="170" t="str">
        <f>'(Data)'!BX49</f>
        <v>.24</v>
      </c>
      <c r="AC13" s="168" t="str">
        <f>'(Data)'!BY49</f>
        <v>.25</v>
      </c>
      <c r="AD13" s="168" t="str">
        <f>'(Data)'!BZ49</f>
        <v>.26</v>
      </c>
      <c r="AE13" s="168" t="str">
        <f>'(Data)'!CA49</f>
        <v>.27</v>
      </c>
    </row>
    <row r="14" spans="1:31" ht="17.25" customHeight="1">
      <c r="A14" s="168" t="str">
        <f>'(Data)'!BU5</f>
        <v>.23</v>
      </c>
      <c r="B14" s="171" t="str">
        <f>'(Data)'!BV5</f>
        <v>.24</v>
      </c>
      <c r="C14" s="168" t="str">
        <f>'(Data)'!BW5</f>
        <v>.25</v>
      </c>
      <c r="D14" s="168" t="str">
        <f>'(Data)'!BX5</f>
        <v>.26</v>
      </c>
      <c r="E14" s="168" t="str">
        <f>'(Data)'!BY5</f>
        <v>.27</v>
      </c>
      <c r="F14" s="168" t="str">
        <f>'(Data)'!BZ5</f>
        <v>.28</v>
      </c>
      <c r="G14" s="168" t="str">
        <f>'(Data)'!CA5</f>
        <v>.29</v>
      </c>
      <c r="H14" s="2"/>
      <c r="I14" s="168" t="str">
        <f>'(Data)'!BU20</f>
        <v>.29</v>
      </c>
      <c r="J14" s="171" t="str">
        <f>'(Data)'!BV20</f>
        <v>.30</v>
      </c>
      <c r="K14" s="168" t="str">
        <f>'(Data)'!BW20</f>
        <v>.31</v>
      </c>
      <c r="L14" s="168">
        <f>'(Data)'!BX20</f>
        <v>0</v>
      </c>
      <c r="M14" s="168">
        <f>'(Data)'!BY20</f>
        <v>0</v>
      </c>
      <c r="N14" s="168">
        <f>'(Data)'!BZ20</f>
        <v>0</v>
      </c>
      <c r="O14" s="168">
        <f>'(Data)'!CA20</f>
        <v>0</v>
      </c>
      <c r="P14" s="2"/>
      <c r="Q14" s="168" t="str">
        <f>'(Data)'!BU35</f>
        <v>.28</v>
      </c>
      <c r="R14" s="171" t="str">
        <f>'(Data)'!BV35</f>
        <v>.29</v>
      </c>
      <c r="S14" s="168" t="str">
        <f>'(Data)'!BW35</f>
        <v>.30</v>
      </c>
      <c r="T14" s="168" t="str">
        <f>'(Data)'!BX35</f>
        <v>.31</v>
      </c>
      <c r="U14" s="168">
        <f>'(Data)'!BY35</f>
        <v>0</v>
      </c>
      <c r="V14" s="168">
        <f>'(Data)'!BZ35</f>
        <v>0</v>
      </c>
      <c r="W14" s="168">
        <f>'(Data)'!CA35</f>
        <v>0</v>
      </c>
      <c r="X14" s="2"/>
      <c r="Y14" s="168" t="str">
        <f>'(Data)'!BU50</f>
        <v>.28</v>
      </c>
      <c r="Z14" s="171" t="str">
        <f>'(Data)'!BV50</f>
        <v>.29</v>
      </c>
      <c r="AA14" s="168" t="str">
        <f>'(Data)'!BW50</f>
        <v>.30</v>
      </c>
      <c r="AB14" s="168">
        <f>'(Data)'!BX50</f>
        <v>0</v>
      </c>
      <c r="AC14" s="168">
        <f>'(Data)'!BY50</f>
        <v>0</v>
      </c>
      <c r="AD14" s="168">
        <f>'(Data)'!BZ50</f>
        <v>0</v>
      </c>
      <c r="AE14" s="168">
        <f>'(Data)'!CA50</f>
        <v>0</v>
      </c>
    </row>
    <row r="15" spans="1:31" ht="12.75">
      <c r="A15" s="9"/>
      <c r="B15" s="9"/>
      <c r="C15" s="9"/>
      <c r="D15" s="9"/>
      <c r="E15" s="9"/>
      <c r="F15" s="9"/>
      <c r="G15" s="9"/>
      <c r="H15" s="2"/>
      <c r="I15" s="9"/>
      <c r="J15" s="9"/>
      <c r="K15" s="9"/>
      <c r="L15" s="9"/>
      <c r="M15" s="9"/>
      <c r="N15" s="9"/>
      <c r="O15" s="9"/>
      <c r="P15" s="2"/>
      <c r="Q15" s="9"/>
      <c r="R15" s="9"/>
      <c r="S15" s="9"/>
      <c r="T15" s="9"/>
      <c r="U15" s="9"/>
      <c r="V15" s="9"/>
      <c r="W15" s="9"/>
      <c r="X15" s="2"/>
      <c r="Y15" s="9"/>
      <c r="Z15" s="9"/>
      <c r="AA15" s="9"/>
      <c r="AB15" s="9"/>
      <c r="AC15" s="9"/>
      <c r="AD15" s="9"/>
      <c r="AE15" s="9"/>
    </row>
    <row r="16" spans="1:31" ht="12.75">
      <c r="A16" s="884" t="s">
        <v>57</v>
      </c>
      <c r="B16" s="884"/>
      <c r="C16" s="3"/>
      <c r="D16" s="3"/>
      <c r="E16" s="3"/>
      <c r="F16" s="3"/>
      <c r="G16" s="3"/>
      <c r="H16" s="12"/>
      <c r="I16" s="3" t="s">
        <v>58</v>
      </c>
      <c r="J16" s="3"/>
      <c r="K16" s="3"/>
      <c r="L16" s="3"/>
      <c r="M16" s="3"/>
      <c r="N16" s="3"/>
      <c r="O16" s="3"/>
      <c r="P16" s="12"/>
      <c r="Q16" s="3" t="s">
        <v>59</v>
      </c>
      <c r="R16" s="3"/>
      <c r="S16" s="3"/>
      <c r="T16" s="3"/>
      <c r="U16" s="3"/>
      <c r="V16" s="3"/>
      <c r="W16" s="3"/>
      <c r="X16" s="12"/>
      <c r="Y16" s="3" t="s">
        <v>60</v>
      </c>
      <c r="Z16" s="7"/>
      <c r="AA16" s="7"/>
      <c r="AB16" s="7"/>
      <c r="AC16" s="7"/>
      <c r="AD16" s="7"/>
      <c r="AE16" s="7"/>
    </row>
    <row r="17" spans="1:31" ht="17.25" customHeight="1">
      <c r="A17" s="168">
        <f>'(Data)'!BU6</f>
        <v>0</v>
      </c>
      <c r="B17" s="168">
        <f>'(Data)'!BV6</f>
        <v>0</v>
      </c>
      <c r="C17" s="168" t="str">
        <f>'(Data)'!BW6</f>
        <v>.1</v>
      </c>
      <c r="D17" s="168" t="str">
        <f>'(Data)'!BX6</f>
        <v>.2</v>
      </c>
      <c r="E17" s="168" t="str">
        <f>'(Data)'!BY6</f>
        <v>.3</v>
      </c>
      <c r="F17" s="168" t="str">
        <f>'(Data)'!BZ6</f>
        <v>.4</v>
      </c>
      <c r="G17" s="168" t="str">
        <f>'(Data)'!CA6</f>
        <v>.5</v>
      </c>
      <c r="H17" s="2"/>
      <c r="I17" s="168">
        <f>'(Data)'!BU21</f>
        <v>0</v>
      </c>
      <c r="J17" s="168">
        <f>'(Data)'!BV21</f>
        <v>0</v>
      </c>
      <c r="K17" s="168">
        <f>'(Data)'!BW21</f>
        <v>0</v>
      </c>
      <c r="L17" s="168" t="str">
        <f>'(Data)'!BX21</f>
        <v>.1</v>
      </c>
      <c r="M17" s="168" t="str">
        <f>'(Data)'!BY21</f>
        <v>.2</v>
      </c>
      <c r="N17" s="168" t="str">
        <f>'(Data)'!BZ21</f>
        <v>.3</v>
      </c>
      <c r="O17" s="168" t="str">
        <f>'(Data)'!CA21</f>
        <v>.4</v>
      </c>
      <c r="P17" s="2"/>
      <c r="Q17" s="168">
        <f>'(Data)'!BU36</f>
        <v>0</v>
      </c>
      <c r="R17" s="168">
        <f>'(Data)'!BV36</f>
        <v>0</v>
      </c>
      <c r="S17" s="168">
        <f>'(Data)'!BW36</f>
        <v>0</v>
      </c>
      <c r="T17" s="168">
        <f>'(Data)'!BX36</f>
        <v>0</v>
      </c>
      <c r="U17" s="168" t="str">
        <f>'(Data)'!BY36</f>
        <v>.1</v>
      </c>
      <c r="V17" s="168" t="str">
        <f>'(Data)'!BZ36</f>
        <v>.2</v>
      </c>
      <c r="W17" s="168" t="str">
        <f>'(Data)'!CA36</f>
        <v>.3</v>
      </c>
      <c r="X17" s="2"/>
      <c r="Y17" s="168">
        <f>'(Data)'!BU51</f>
        <v>0</v>
      </c>
      <c r="Z17" s="168">
        <f>'(Data)'!BV51</f>
        <v>0</v>
      </c>
      <c r="AA17" s="168">
        <f>'(Data)'!BW51</f>
        <v>0</v>
      </c>
      <c r="AB17" s="168" t="str">
        <f>'(Data)'!BX51</f>
        <v>.1</v>
      </c>
      <c r="AC17" s="168" t="str">
        <f>'(Data)'!BY51</f>
        <v>.2</v>
      </c>
      <c r="AD17" s="168" t="str">
        <f>'(Data)'!BZ51</f>
        <v>.3</v>
      </c>
      <c r="AE17" s="168" t="str">
        <f>'(Data)'!CA51</f>
        <v>.4</v>
      </c>
    </row>
    <row r="18" spans="1:31" ht="17.25" customHeight="1">
      <c r="A18" s="168" t="str">
        <f>'(Data)'!BU7</f>
        <v>.6</v>
      </c>
      <c r="B18" s="168" t="str">
        <f>'(Data)'!BV7</f>
        <v>.7</v>
      </c>
      <c r="C18" s="168" t="str">
        <f>'(Data)'!BW7</f>
        <v>.8</v>
      </c>
      <c r="D18" s="168" t="str">
        <f>'(Data)'!BX7</f>
        <v>.9</v>
      </c>
      <c r="E18" s="168" t="str">
        <f>'(Data)'!BY7</f>
        <v>.10</v>
      </c>
      <c r="F18" s="169" t="str">
        <f>'(Data)'!BZ7</f>
        <v>.11</v>
      </c>
      <c r="G18" s="168" t="str">
        <f>'(Data)'!CA7</f>
        <v>.12</v>
      </c>
      <c r="H18" s="2"/>
      <c r="I18" s="168" t="str">
        <f>'(Data)'!BU22</f>
        <v>.5</v>
      </c>
      <c r="J18" s="168" t="str">
        <f>'(Data)'!BV22</f>
        <v>.6</v>
      </c>
      <c r="K18" s="168" t="str">
        <f>'(Data)'!BW22</f>
        <v>.7</v>
      </c>
      <c r="L18" s="168" t="str">
        <f>'(Data)'!BX22</f>
        <v>.8</v>
      </c>
      <c r="M18" s="168" t="str">
        <f>'(Data)'!BY22</f>
        <v>.9</v>
      </c>
      <c r="N18" s="169" t="str">
        <f>'(Data)'!BZ22</f>
        <v>.10</v>
      </c>
      <c r="O18" s="168" t="str">
        <f>'(Data)'!CA22</f>
        <v>.11</v>
      </c>
      <c r="P18" s="2"/>
      <c r="Q18" s="168" t="str">
        <f>'(Data)'!BU37</f>
        <v>.4</v>
      </c>
      <c r="R18" s="168" t="str">
        <f>'(Data)'!BV37</f>
        <v>.5</v>
      </c>
      <c r="S18" s="168" t="str">
        <f>'(Data)'!BW37</f>
        <v>.6</v>
      </c>
      <c r="T18" s="168" t="str">
        <f>'(Data)'!BX37</f>
        <v>.7</v>
      </c>
      <c r="U18" s="168" t="str">
        <f>'(Data)'!BY37</f>
        <v>.8</v>
      </c>
      <c r="V18" s="169" t="str">
        <f>'(Data)'!BZ37</f>
        <v>.9</v>
      </c>
      <c r="W18" s="168" t="str">
        <f>'(Data)'!CA37</f>
        <v>.10</v>
      </c>
      <c r="X18" s="2"/>
      <c r="Y18" s="168" t="str">
        <f>'(Data)'!BU52</f>
        <v>.5</v>
      </c>
      <c r="Z18" s="168" t="str">
        <f>'(Data)'!BV52</f>
        <v>.6</v>
      </c>
      <c r="AA18" s="168" t="str">
        <f>'(Data)'!BW52</f>
        <v>.7</v>
      </c>
      <c r="AB18" s="168" t="str">
        <f>'(Data)'!BX52</f>
        <v>.8</v>
      </c>
      <c r="AC18" s="168" t="str">
        <f>'(Data)'!BY52</f>
        <v>.9</v>
      </c>
      <c r="AD18" s="169" t="str">
        <f>'(Data)'!BZ52</f>
        <v>.10</v>
      </c>
      <c r="AE18" s="168" t="str">
        <f>'(Data)'!CA52</f>
        <v>.11</v>
      </c>
    </row>
    <row r="19" spans="1:31" ht="17.25" customHeight="1">
      <c r="A19" s="168" t="str">
        <f>'(Data)'!BU8</f>
        <v>.13</v>
      </c>
      <c r="B19" s="170" t="str">
        <f>'(Data)'!BV8</f>
        <v>.14</v>
      </c>
      <c r="C19" s="168" t="str">
        <f>'(Data)'!BW8</f>
        <v>.15</v>
      </c>
      <c r="D19" s="168" t="str">
        <f>'(Data)'!BX8</f>
        <v>.16</v>
      </c>
      <c r="E19" s="168" t="str">
        <f>'(Data)'!BY8</f>
        <v>.17</v>
      </c>
      <c r="F19" s="168" t="str">
        <f>'(Data)'!BZ8</f>
        <v>.18</v>
      </c>
      <c r="G19" s="168" t="str">
        <f>'(Data)'!CA8</f>
        <v>.19</v>
      </c>
      <c r="H19" s="2"/>
      <c r="I19" s="168" t="str">
        <f>'(Data)'!BU23</f>
        <v>.12</v>
      </c>
      <c r="J19" s="170" t="str">
        <f>'(Data)'!BV23</f>
        <v>.13</v>
      </c>
      <c r="K19" s="168" t="str">
        <f>'(Data)'!BW23</f>
        <v>.14</v>
      </c>
      <c r="L19" s="168" t="str">
        <f>'(Data)'!BX23</f>
        <v>.15</v>
      </c>
      <c r="M19" s="168" t="str">
        <f>'(Data)'!BY23</f>
        <v>.16</v>
      </c>
      <c r="N19" s="168" t="str">
        <f>'(Data)'!BZ23</f>
        <v>.17</v>
      </c>
      <c r="O19" s="168" t="str">
        <f>'(Data)'!CA23</f>
        <v>.18</v>
      </c>
      <c r="P19" s="2"/>
      <c r="Q19" s="168" t="str">
        <f>'(Data)'!BU38</f>
        <v>.11</v>
      </c>
      <c r="R19" s="170" t="str">
        <f>'(Data)'!BV38</f>
        <v>.12</v>
      </c>
      <c r="S19" s="168" t="str">
        <f>'(Data)'!BW38</f>
        <v>.13</v>
      </c>
      <c r="T19" s="168" t="str">
        <f>'(Data)'!BX38</f>
        <v>.14</v>
      </c>
      <c r="U19" s="168" t="str">
        <f>'(Data)'!BY38</f>
        <v>.15</v>
      </c>
      <c r="V19" s="168" t="str">
        <f>'(Data)'!BZ38</f>
        <v>.16</v>
      </c>
      <c r="W19" s="168" t="str">
        <f>'(Data)'!CA38</f>
        <v>.17</v>
      </c>
      <c r="X19" s="2"/>
      <c r="Y19" s="168" t="str">
        <f>'(Data)'!BU53</f>
        <v>.12</v>
      </c>
      <c r="Z19" s="170" t="str">
        <f>'(Data)'!BV53</f>
        <v>.13</v>
      </c>
      <c r="AA19" s="168" t="str">
        <f>'(Data)'!BW53</f>
        <v>.14</v>
      </c>
      <c r="AB19" s="168" t="str">
        <f>'(Data)'!BX53</f>
        <v>.15</v>
      </c>
      <c r="AC19" s="168" t="str">
        <f>'(Data)'!BY53</f>
        <v>.16</v>
      </c>
      <c r="AD19" s="168" t="str">
        <f>'(Data)'!BZ53</f>
        <v>.17</v>
      </c>
      <c r="AE19" s="168" t="str">
        <f>'(Data)'!CA53</f>
        <v>.18</v>
      </c>
    </row>
    <row r="20" spans="1:31" ht="17.25" customHeight="1">
      <c r="A20" s="168" t="str">
        <f>'(Data)'!BU9</f>
        <v>.20</v>
      </c>
      <c r="B20" s="168" t="str">
        <f>'(Data)'!BV9</f>
        <v>.21</v>
      </c>
      <c r="C20" s="168" t="str">
        <f>'(Data)'!BW9</f>
        <v>.22</v>
      </c>
      <c r="D20" s="170" t="str">
        <f>'(Data)'!BX9</f>
        <v>.23</v>
      </c>
      <c r="E20" s="168" t="str">
        <f>'(Data)'!BY9</f>
        <v>.24</v>
      </c>
      <c r="F20" s="168" t="str">
        <f>'(Data)'!BZ9</f>
        <v>.25</v>
      </c>
      <c r="G20" s="168" t="str">
        <f>'(Data)'!CA9</f>
        <v>.26</v>
      </c>
      <c r="H20" s="2"/>
      <c r="I20" s="168" t="str">
        <f>'(Data)'!BU24</f>
        <v>.19</v>
      </c>
      <c r="J20" s="168" t="str">
        <f>'(Data)'!BV24</f>
        <v>.20</v>
      </c>
      <c r="K20" s="168" t="str">
        <f>'(Data)'!BW24</f>
        <v>.21</v>
      </c>
      <c r="L20" s="170" t="str">
        <f>'(Data)'!BX24</f>
        <v>.22</v>
      </c>
      <c r="M20" s="168" t="str">
        <f>'(Data)'!BY24</f>
        <v>.23</v>
      </c>
      <c r="N20" s="168" t="str">
        <f>'(Data)'!BZ24</f>
        <v>.24</v>
      </c>
      <c r="O20" s="168" t="str">
        <f>'(Data)'!CA24</f>
        <v>.25</v>
      </c>
      <c r="P20" s="2"/>
      <c r="Q20" s="168" t="str">
        <f>'(Data)'!BU39</f>
        <v>.18</v>
      </c>
      <c r="R20" s="168" t="str">
        <f>'(Data)'!BV39</f>
        <v>.19</v>
      </c>
      <c r="S20" s="168" t="str">
        <f>'(Data)'!BW39</f>
        <v>.20</v>
      </c>
      <c r="T20" s="170" t="str">
        <f>'(Data)'!BX39</f>
        <v>.21</v>
      </c>
      <c r="U20" s="168" t="str">
        <f>'(Data)'!BY39</f>
        <v>.22</v>
      </c>
      <c r="V20" s="168" t="str">
        <f>'(Data)'!BZ39</f>
        <v>.23</v>
      </c>
      <c r="W20" s="168" t="str">
        <f>'(Data)'!CA39</f>
        <v>.24</v>
      </c>
      <c r="X20" s="2"/>
      <c r="Y20" s="168" t="str">
        <f>'(Data)'!BU54</f>
        <v>.19</v>
      </c>
      <c r="Z20" s="168" t="str">
        <f>'(Data)'!BV54</f>
        <v>.20</v>
      </c>
      <c r="AA20" s="168" t="str">
        <f>'(Data)'!BW54</f>
        <v>.21</v>
      </c>
      <c r="AB20" s="170" t="str">
        <f>'(Data)'!BX54</f>
        <v>.22</v>
      </c>
      <c r="AC20" s="168" t="str">
        <f>'(Data)'!BY54</f>
        <v>.23</v>
      </c>
      <c r="AD20" s="168" t="str">
        <f>'(Data)'!BZ54</f>
        <v>.24</v>
      </c>
      <c r="AE20" s="168" t="str">
        <f>'(Data)'!CA54</f>
        <v>.25</v>
      </c>
    </row>
    <row r="21" spans="1:31" ht="17.25" customHeight="1">
      <c r="A21" s="168" t="str">
        <f>'(Data)'!BU10</f>
        <v>.27</v>
      </c>
      <c r="B21" s="171" t="str">
        <f>'(Data)'!BV10</f>
        <v>.28</v>
      </c>
      <c r="C21" s="168" t="str">
        <f>'(Data)'!BW10</f>
        <v>.29</v>
      </c>
      <c r="D21" s="168" t="str">
        <f>'(Data)'!BX10</f>
        <v>.30</v>
      </c>
      <c r="E21" s="168" t="str">
        <f>'(Data)'!BY10</f>
        <v>.31</v>
      </c>
      <c r="F21" s="168">
        <f>'(Data)'!BZ10</f>
        <v>0</v>
      </c>
      <c r="G21" s="168">
        <f>'(Data)'!CA10</f>
        <v>0</v>
      </c>
      <c r="H21" s="2"/>
      <c r="I21" s="168" t="str">
        <f>'(Data)'!BU25</f>
        <v>.26</v>
      </c>
      <c r="J21" s="171" t="str">
        <f>'(Data)'!BV25</f>
        <v>.27</v>
      </c>
      <c r="K21" s="168" t="str">
        <f>'(Data)'!BW25</f>
        <v>.28</v>
      </c>
      <c r="L21" s="168" t="str">
        <f>'(Data)'!BX25</f>
        <v>.29</v>
      </c>
      <c r="M21" s="168" t="str">
        <f>'(Data)'!BY25</f>
        <v>.30</v>
      </c>
      <c r="N21" s="168">
        <f>'(Data)'!BZ25</f>
        <v>0</v>
      </c>
      <c r="O21" s="168">
        <f>'(Data)'!CA25</f>
        <v>0</v>
      </c>
      <c r="P21" s="2"/>
      <c r="Q21" s="168" t="str">
        <f>'(Data)'!BU40</f>
        <v>.25</v>
      </c>
      <c r="R21" s="171" t="str">
        <f>'(Data)'!BV40</f>
        <v>.26</v>
      </c>
      <c r="S21" s="168" t="str">
        <f>'(Data)'!BW40</f>
        <v>.27</v>
      </c>
      <c r="T21" s="168" t="str">
        <f>'(Data)'!BX40</f>
        <v>.28</v>
      </c>
      <c r="U21" s="168" t="str">
        <f>'(Data)'!BY40</f>
        <v>.29</v>
      </c>
      <c r="V21" s="168">
        <f>'(Data)'!BZ40</f>
        <v>0</v>
      </c>
      <c r="W21" s="168">
        <f>'(Data)'!CA40</f>
        <v>0</v>
      </c>
      <c r="X21" s="2"/>
      <c r="Y21" s="168" t="str">
        <f>'(Data)'!BU55</f>
        <v>.26</v>
      </c>
      <c r="Z21" s="171" t="str">
        <f>'(Data)'!BV55</f>
        <v>.27</v>
      </c>
      <c r="AA21" s="168" t="str">
        <f>'(Data)'!BW55</f>
        <v>.28</v>
      </c>
      <c r="AB21" s="168" t="str">
        <f>'(Data)'!BX55</f>
        <v>.29</v>
      </c>
      <c r="AC21" s="168" t="str">
        <f>'(Data)'!BY55</f>
        <v>.30</v>
      </c>
      <c r="AD21" s="168" t="str">
        <f>'(Data)'!BZ55</f>
        <v>.31</v>
      </c>
      <c r="AE21" s="168">
        <f>'(Data)'!CA55</f>
        <v>0</v>
      </c>
    </row>
    <row r="22" ht="12.75">
      <c r="AF22" s="2"/>
    </row>
    <row r="23" spans="1:32" ht="17.25" customHeight="1">
      <c r="A23" s="12" t="s">
        <v>61</v>
      </c>
      <c r="B23" s="12"/>
      <c r="C23" s="12"/>
      <c r="D23" s="12"/>
      <c r="E23" s="12"/>
      <c r="F23" s="12"/>
      <c r="G23" s="12"/>
      <c r="H23" s="12"/>
      <c r="I23" s="12" t="s">
        <v>62</v>
      </c>
      <c r="J23" s="12"/>
      <c r="K23" s="12"/>
      <c r="L23" s="12"/>
      <c r="M23" s="12"/>
      <c r="N23" s="12"/>
      <c r="O23" s="12"/>
      <c r="P23" s="12"/>
      <c r="Q23" s="12" t="s">
        <v>63</v>
      </c>
      <c r="R23" s="12"/>
      <c r="S23" s="12"/>
      <c r="T23" s="12"/>
      <c r="U23" s="12"/>
      <c r="V23" s="12"/>
      <c r="W23" s="12"/>
      <c r="X23" s="12"/>
      <c r="Y23" s="12" t="s">
        <v>64</v>
      </c>
      <c r="Z23" s="6"/>
      <c r="AA23" s="6"/>
      <c r="AB23" s="6"/>
      <c r="AC23" s="6"/>
      <c r="AD23" s="6"/>
      <c r="AE23" s="6"/>
      <c r="AF23" s="2"/>
    </row>
    <row r="24" spans="1:31" ht="17.25" customHeight="1">
      <c r="A24" s="168">
        <f>'(Data)'!BU11</f>
        <v>0</v>
      </c>
      <c r="B24" s="168">
        <f>'(Data)'!BV11</f>
        <v>0</v>
      </c>
      <c r="C24" s="168">
        <f>'(Data)'!BW11</f>
        <v>0</v>
      </c>
      <c r="D24" s="168">
        <f>'(Data)'!BX11</f>
        <v>0</v>
      </c>
      <c r="E24" s="168">
        <f>'(Data)'!BY11</f>
        <v>0</v>
      </c>
      <c r="F24" s="168" t="str">
        <f>'(Data)'!BZ11</f>
        <v>.1</v>
      </c>
      <c r="G24" s="168" t="str">
        <f>'(Data)'!CA11</f>
        <v>.2</v>
      </c>
      <c r="H24" s="2"/>
      <c r="I24" s="168" t="str">
        <f>'(Data)'!BU26</f>
        <v>.31</v>
      </c>
      <c r="J24" s="168">
        <f>'(Data)'!BV26</f>
        <v>0</v>
      </c>
      <c r="K24" s="168">
        <f>'(Data)'!BW26</f>
        <v>0</v>
      </c>
      <c r="L24" s="168">
        <f>'(Data)'!BX26</f>
        <v>0</v>
      </c>
      <c r="M24" s="168">
        <f>'(Data)'!BY26</f>
        <v>0</v>
      </c>
      <c r="N24" s="168" t="str">
        <f>'(Data)'!BZ26</f>
        <v>.1</v>
      </c>
      <c r="O24" s="168" t="str">
        <f>'(Data)'!CA26</f>
        <v>.2</v>
      </c>
      <c r="P24" s="2"/>
      <c r="Q24" s="168" t="str">
        <f>'(Data)'!BU41</f>
        <v>.31</v>
      </c>
      <c r="R24" s="168">
        <f>'(Data)'!BV41</f>
        <v>0</v>
      </c>
      <c r="S24" s="168">
        <f>'(Data)'!BW41</f>
        <v>0</v>
      </c>
      <c r="T24" s="168">
        <f>'(Data)'!BX41</f>
        <v>0</v>
      </c>
      <c r="U24" s="168">
        <f>'(Data)'!BY41</f>
        <v>0</v>
      </c>
      <c r="V24" s="168" t="str">
        <f>'(Data)'!BZ41</f>
        <v>.1</v>
      </c>
      <c r="W24" s="168" t="str">
        <f>'(Data)'!CA41</f>
        <v>.2</v>
      </c>
      <c r="X24" s="2"/>
      <c r="Y24" s="168" t="str">
        <f>'(Data)'!BU56</f>
        <v>.30</v>
      </c>
      <c r="Z24" s="168">
        <f>'(Data)'!BV56</f>
        <v>0</v>
      </c>
      <c r="AA24" s="168">
        <f>'(Data)'!BW56</f>
        <v>0</v>
      </c>
      <c r="AB24" s="168">
        <f>'(Data)'!BX56</f>
        <v>0</v>
      </c>
      <c r="AC24" s="168">
        <f>'(Data)'!BY56</f>
        <v>0</v>
      </c>
      <c r="AD24" s="168">
        <f>'(Data)'!BZ56</f>
        <v>0</v>
      </c>
      <c r="AE24" s="168" t="str">
        <f>'(Data)'!CA56</f>
        <v>.1</v>
      </c>
    </row>
    <row r="25" spans="1:31" ht="17.25" customHeight="1">
      <c r="A25" s="168" t="str">
        <f>'(Data)'!BU12</f>
        <v>.3</v>
      </c>
      <c r="B25" s="168" t="str">
        <f>'(Data)'!BV12</f>
        <v>.4</v>
      </c>
      <c r="C25" s="168" t="str">
        <f>'(Data)'!BW12</f>
        <v>.5</v>
      </c>
      <c r="D25" s="168" t="str">
        <f>'(Data)'!BX12</f>
        <v>.6</v>
      </c>
      <c r="E25" s="168" t="str">
        <f>'(Data)'!BY12</f>
        <v>.7</v>
      </c>
      <c r="F25" s="169" t="str">
        <f>'(Data)'!BZ12</f>
        <v>.8</v>
      </c>
      <c r="G25" s="168" t="str">
        <f>'(Data)'!CA12</f>
        <v>.9</v>
      </c>
      <c r="H25" s="2"/>
      <c r="I25" s="168" t="str">
        <f>'(Data)'!BU27</f>
        <v>.3</v>
      </c>
      <c r="J25" s="168" t="str">
        <f>'(Data)'!BV27</f>
        <v>.4</v>
      </c>
      <c r="K25" s="168" t="str">
        <f>'(Data)'!BW27</f>
        <v>.5</v>
      </c>
      <c r="L25" s="168" t="str">
        <f>'(Data)'!BX27</f>
        <v>.6</v>
      </c>
      <c r="M25" s="168" t="str">
        <f>'(Data)'!BY27</f>
        <v>.7</v>
      </c>
      <c r="N25" s="169" t="str">
        <f>'(Data)'!BZ27</f>
        <v>.8</v>
      </c>
      <c r="O25" s="168" t="str">
        <f>'(Data)'!CA27</f>
        <v>.9</v>
      </c>
      <c r="P25" s="2"/>
      <c r="Q25" s="168" t="str">
        <f>'(Data)'!BU42</f>
        <v>.3</v>
      </c>
      <c r="R25" s="168" t="str">
        <f>'(Data)'!BV42</f>
        <v>.4</v>
      </c>
      <c r="S25" s="168" t="str">
        <f>'(Data)'!BW42</f>
        <v>.5</v>
      </c>
      <c r="T25" s="168" t="str">
        <f>'(Data)'!BX42</f>
        <v>.6</v>
      </c>
      <c r="U25" s="168" t="str">
        <f>'(Data)'!BY42</f>
        <v>.7</v>
      </c>
      <c r="V25" s="169" t="str">
        <f>'(Data)'!BZ42</f>
        <v>.8</v>
      </c>
      <c r="W25" s="168" t="str">
        <f>'(Data)'!CA42</f>
        <v>.9</v>
      </c>
      <c r="X25" s="2"/>
      <c r="Y25" s="168" t="str">
        <f>'(Data)'!BU57</f>
        <v>.2</v>
      </c>
      <c r="Z25" s="168" t="str">
        <f>'(Data)'!BV57</f>
        <v>.3</v>
      </c>
      <c r="AA25" s="168" t="str">
        <f>'(Data)'!BW57</f>
        <v>.4</v>
      </c>
      <c r="AB25" s="168" t="str">
        <f>'(Data)'!BX57</f>
        <v>.5</v>
      </c>
      <c r="AC25" s="168" t="str">
        <f>'(Data)'!BY57</f>
        <v>.6</v>
      </c>
      <c r="AD25" s="169" t="str">
        <f>'(Data)'!BZ57</f>
        <v>.7</v>
      </c>
      <c r="AE25" s="168" t="str">
        <f>'(Data)'!CA57</f>
        <v>.8</v>
      </c>
    </row>
    <row r="26" spans="1:31" ht="17.25" customHeight="1">
      <c r="A26" s="168" t="str">
        <f>'(Data)'!BU13</f>
        <v>.10</v>
      </c>
      <c r="B26" s="170" t="str">
        <f>'(Data)'!BV13</f>
        <v>.11</v>
      </c>
      <c r="C26" s="168" t="str">
        <f>'(Data)'!BW13</f>
        <v>.12</v>
      </c>
      <c r="D26" s="168" t="str">
        <f>'(Data)'!BX13</f>
        <v>.13</v>
      </c>
      <c r="E26" s="168" t="str">
        <f>'(Data)'!BY13</f>
        <v>.14</v>
      </c>
      <c r="F26" s="168" t="str">
        <f>'(Data)'!BZ13</f>
        <v>.15</v>
      </c>
      <c r="G26" s="168" t="str">
        <f>'(Data)'!CA13</f>
        <v>.16</v>
      </c>
      <c r="H26" s="2"/>
      <c r="I26" s="168" t="str">
        <f>'(Data)'!BU28</f>
        <v>.10</v>
      </c>
      <c r="J26" s="170" t="str">
        <f>'(Data)'!BV28</f>
        <v>.11</v>
      </c>
      <c r="K26" s="168" t="str">
        <f>'(Data)'!BW28</f>
        <v>.12</v>
      </c>
      <c r="L26" s="168" t="str">
        <f>'(Data)'!BX28</f>
        <v>.13</v>
      </c>
      <c r="M26" s="168" t="str">
        <f>'(Data)'!BY28</f>
        <v>.14</v>
      </c>
      <c r="N26" s="168" t="str">
        <f>'(Data)'!BZ28</f>
        <v>.15</v>
      </c>
      <c r="O26" s="168" t="str">
        <f>'(Data)'!CA28</f>
        <v>.16</v>
      </c>
      <c r="P26" s="2"/>
      <c r="Q26" s="168" t="str">
        <f>'(Data)'!BU43</f>
        <v>.10</v>
      </c>
      <c r="R26" s="170" t="str">
        <f>'(Data)'!BV43</f>
        <v>.11</v>
      </c>
      <c r="S26" s="168" t="str">
        <f>'(Data)'!BW43</f>
        <v>.12</v>
      </c>
      <c r="T26" s="168" t="str">
        <f>'(Data)'!BX43</f>
        <v>.13</v>
      </c>
      <c r="U26" s="168" t="str">
        <f>'(Data)'!BY43</f>
        <v>.14</v>
      </c>
      <c r="V26" s="168" t="str">
        <f>'(Data)'!BZ43</f>
        <v>.15</v>
      </c>
      <c r="W26" s="168" t="str">
        <f>'(Data)'!CA43</f>
        <v>.16</v>
      </c>
      <c r="X26" s="2"/>
      <c r="Y26" s="168" t="str">
        <f>'(Data)'!BU58</f>
        <v>.9</v>
      </c>
      <c r="Z26" s="170" t="str">
        <f>'(Data)'!BV58</f>
        <v>.10</v>
      </c>
      <c r="AA26" s="168" t="str">
        <f>'(Data)'!BW58</f>
        <v>.11</v>
      </c>
      <c r="AB26" s="168" t="str">
        <f>'(Data)'!BX58</f>
        <v>.12</v>
      </c>
      <c r="AC26" s="168" t="str">
        <f>'(Data)'!BY58</f>
        <v>.13</v>
      </c>
      <c r="AD26" s="168" t="str">
        <f>'(Data)'!BZ58</f>
        <v>.14</v>
      </c>
      <c r="AE26" s="168" t="str">
        <f>'(Data)'!CA58</f>
        <v>.15</v>
      </c>
    </row>
    <row r="27" spans="1:31" ht="17.25" customHeight="1">
      <c r="A27" s="168" t="str">
        <f>'(Data)'!BU14</f>
        <v>.17</v>
      </c>
      <c r="B27" s="168" t="str">
        <f>'(Data)'!BV14</f>
        <v>.18</v>
      </c>
      <c r="C27" s="168" t="str">
        <f>'(Data)'!BW14</f>
        <v>.19</v>
      </c>
      <c r="D27" s="170" t="str">
        <f>'(Data)'!BX14</f>
        <v>.20</v>
      </c>
      <c r="E27" s="168" t="str">
        <f>'(Data)'!BY14</f>
        <v>.21</v>
      </c>
      <c r="F27" s="168" t="str">
        <f>'(Data)'!BZ14</f>
        <v>.22</v>
      </c>
      <c r="G27" s="168" t="str">
        <f>'(Data)'!CA14</f>
        <v>.23</v>
      </c>
      <c r="H27" s="2"/>
      <c r="I27" s="168" t="str">
        <f>'(Data)'!BU29</f>
        <v>.17</v>
      </c>
      <c r="J27" s="168" t="str">
        <f>'(Data)'!BV29</f>
        <v>.18</v>
      </c>
      <c r="K27" s="168" t="str">
        <f>'(Data)'!BW29</f>
        <v>.19</v>
      </c>
      <c r="L27" s="170" t="str">
        <f>'(Data)'!BX29</f>
        <v>.20</v>
      </c>
      <c r="M27" s="168" t="str">
        <f>'(Data)'!BY29</f>
        <v>.21</v>
      </c>
      <c r="N27" s="168" t="str">
        <f>'(Data)'!BZ29</f>
        <v>.22</v>
      </c>
      <c r="O27" s="168" t="str">
        <f>'(Data)'!CA29</f>
        <v>.23</v>
      </c>
      <c r="P27" s="2"/>
      <c r="Q27" s="168" t="str">
        <f>'(Data)'!BU44</f>
        <v>.17</v>
      </c>
      <c r="R27" s="168" t="str">
        <f>'(Data)'!BV44</f>
        <v>.18</v>
      </c>
      <c r="S27" s="168" t="str">
        <f>'(Data)'!BW44</f>
        <v>.19</v>
      </c>
      <c r="T27" s="170" t="str">
        <f>'(Data)'!BX44</f>
        <v>.20</v>
      </c>
      <c r="U27" s="168" t="str">
        <f>'(Data)'!BY44</f>
        <v>.21</v>
      </c>
      <c r="V27" s="168" t="str">
        <f>'(Data)'!BZ44</f>
        <v>.22</v>
      </c>
      <c r="W27" s="168" t="str">
        <f>'(Data)'!CA44</f>
        <v>.23</v>
      </c>
      <c r="X27" s="2"/>
      <c r="Y27" s="168" t="str">
        <f>'(Data)'!BU59</f>
        <v>.16</v>
      </c>
      <c r="Z27" s="168" t="str">
        <f>'(Data)'!BV59</f>
        <v>.17</v>
      </c>
      <c r="AA27" s="168" t="str">
        <f>'(Data)'!BW59</f>
        <v>.18</v>
      </c>
      <c r="AB27" s="170" t="str">
        <f>'(Data)'!BX59</f>
        <v>.19</v>
      </c>
      <c r="AC27" s="168" t="str">
        <f>'(Data)'!BY59</f>
        <v>.20</v>
      </c>
      <c r="AD27" s="168" t="str">
        <f>'(Data)'!BZ59</f>
        <v>.21</v>
      </c>
      <c r="AE27" s="168" t="str">
        <f>'(Data)'!CA59</f>
        <v>.22</v>
      </c>
    </row>
    <row r="28" spans="1:31" ht="17.25" customHeight="1">
      <c r="A28" s="168" t="str">
        <f>'(Data)'!BU15</f>
        <v>.24</v>
      </c>
      <c r="B28" s="171" t="str">
        <f>'(Data)'!BV15</f>
        <v>.25</v>
      </c>
      <c r="C28" s="168" t="str">
        <f>'(Data)'!BW15</f>
        <v>.26</v>
      </c>
      <c r="D28" s="168" t="str">
        <f>'(Data)'!BX15</f>
        <v>.27</v>
      </c>
      <c r="E28" s="168" t="str">
        <f>'(Data)'!BY15</f>
        <v>.28</v>
      </c>
      <c r="F28" s="168" t="str">
        <f>'(Data)'!BZ15</f>
        <v>.29</v>
      </c>
      <c r="G28" s="168" t="str">
        <f>'(Data)'!CA15</f>
        <v>.30</v>
      </c>
      <c r="H28" s="2"/>
      <c r="I28" s="168" t="str">
        <f>'(Data)'!BU30</f>
        <v>.24</v>
      </c>
      <c r="J28" s="171" t="str">
        <f>'(Data)'!BV30</f>
        <v>.25</v>
      </c>
      <c r="K28" s="168" t="str">
        <f>'(Data)'!BW30</f>
        <v>.26</v>
      </c>
      <c r="L28" s="168" t="str">
        <f>'(Data)'!BX30</f>
        <v>.27</v>
      </c>
      <c r="M28" s="168" t="str">
        <f>'(Data)'!BY30</f>
        <v>.28</v>
      </c>
      <c r="N28" s="168" t="str">
        <f>'(Data)'!BZ30</f>
        <v>.29</v>
      </c>
      <c r="O28" s="168" t="str">
        <f>'(Data)'!CA30</f>
        <v>.30</v>
      </c>
      <c r="P28" s="2"/>
      <c r="Q28" s="168" t="str">
        <f>'(Data)'!BU45</f>
        <v>.24</v>
      </c>
      <c r="R28" s="171" t="str">
        <f>'(Data)'!BV45</f>
        <v>.25</v>
      </c>
      <c r="S28" s="168" t="str">
        <f>'(Data)'!BW45</f>
        <v>.26</v>
      </c>
      <c r="T28" s="168" t="str">
        <f>'(Data)'!BX45</f>
        <v>.27</v>
      </c>
      <c r="U28" s="168" t="str">
        <f>'(Data)'!BY45</f>
        <v>.28</v>
      </c>
      <c r="V28" s="168" t="str">
        <f>'(Data)'!BZ45</f>
        <v>.29</v>
      </c>
      <c r="W28" s="168" t="str">
        <f>'(Data)'!CA45</f>
        <v>.30</v>
      </c>
      <c r="X28" s="2"/>
      <c r="Y28" s="168" t="str">
        <f>'(Data)'!BU60</f>
        <v>.23</v>
      </c>
      <c r="Z28" s="171" t="str">
        <f>'(Data)'!BV60</f>
        <v>.24</v>
      </c>
      <c r="AA28" s="168" t="str">
        <f>'(Data)'!BW60</f>
        <v>.25</v>
      </c>
      <c r="AB28" s="168" t="str">
        <f>'(Data)'!BX60</f>
        <v>.26</v>
      </c>
      <c r="AC28" s="168" t="str">
        <f>'(Data)'!BY60</f>
        <v>.27</v>
      </c>
      <c r="AD28" s="168" t="str">
        <f>'(Data)'!BZ60</f>
        <v>.28</v>
      </c>
      <c r="AE28" s="168" t="str">
        <f>'(Data)'!CA60</f>
        <v>.29</v>
      </c>
    </row>
    <row r="29" spans="1:31"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s="212" customFormat="1" ht="15.75">
      <c r="A30" s="211" t="s">
        <v>227</v>
      </c>
      <c r="B30" s="211"/>
      <c r="C30" s="211"/>
      <c r="F30" s="891">
        <f>COUNTIF(A10:G14,"&gt;0")+COUNTIF(A17:G21,"&gt;0")+COUNTIF(A24:G28,"&gt;0")+COUNTIF(A10:G14,"&gt;'&lt;'")+COUNTIF(A17:G21,"&gt;'&lt;'")+COUNTIF(A24:G28,"&gt;'&lt;'")-COUNTIF(A10:G14,"&gt;a")-COUNTIF(A17:G21,"&gt;a")-COUNTIF(A24:G28,"&gt;a")</f>
        <v>0</v>
      </c>
      <c r="G30" s="891"/>
      <c r="H30" s="213"/>
      <c r="I30" s="211" t="s">
        <v>226</v>
      </c>
      <c r="J30" s="211"/>
      <c r="K30" s="211"/>
      <c r="N30" s="891">
        <f>COUNTIF(I10:O14,"&gt;0")+COUNTIF(I17:O21,"&gt;0")+COUNTIF(I24:O28,"&gt;0")+COUNTIF(I10:O14,"&gt;'&lt;'")+COUNTIF(I17:O21,"&gt;'&lt;'")+COUNTIF(I24:O28,"&gt;'&lt;'")-COUNTIF(I10:O14,"&gt;a")-COUNTIF(I17:O21,"&gt;a")-COUNTIF(I24:O28,"&gt;a")</f>
        <v>0</v>
      </c>
      <c r="O30" s="891"/>
      <c r="P30" s="213"/>
      <c r="Q30" s="211" t="s">
        <v>228</v>
      </c>
      <c r="R30" s="211"/>
      <c r="S30" s="211"/>
      <c r="V30" s="891">
        <f>COUNTIF(Q10:W14,"&gt;0")+COUNTIF(Q17:W21,"&gt;0")+COUNTIF(Q24:W28,"&gt;0")+COUNTIF(Q10:W14,"&gt;'&lt;'")+COUNTIF(Q17:W21,"&gt;'&lt;'")+COUNTIF(Q24:W28,"&gt;'&lt;'")-COUNTIF(Q10:W14,"&gt;a")-COUNTIF(Q17:W21,"&gt;a")-COUNTIF(Q24:W28,"&gt;a")</f>
        <v>0</v>
      </c>
      <c r="W30" s="891"/>
      <c r="X30" s="213"/>
      <c r="Y30" s="211" t="s">
        <v>229</v>
      </c>
      <c r="Z30" s="211"/>
      <c r="AA30" s="211"/>
      <c r="AD30" s="891">
        <f>COUNTIF(Y10:AE14,"&gt;0")+COUNTIF(Y17:AE21,"&gt;0")+COUNTIF(Y24:AE28,"&gt;0")+COUNTIF(Y10:AE14,"&gt;'&lt;'")+COUNTIF(Y17:AE21,"&gt;'&lt;'")+COUNTIF(Y24:AE28,"&gt;'&lt;'")-COUNTIF(Y10:AE14,"&gt;a")-COUNTIF(Y17:AE21,"&gt;a")-COUNTIF(Y24:AE28,"&gt;a")</f>
        <v>0</v>
      </c>
      <c r="AE30" s="891"/>
    </row>
    <row r="31" spans="1:31"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s="167" customFormat="1" ht="12.75">
      <c r="A32" s="4" t="s">
        <v>225</v>
      </c>
      <c r="B32" s="4"/>
      <c r="C32" s="4"/>
      <c r="D32" s="225" t="s">
        <v>230</v>
      </c>
      <c r="E32" s="4"/>
      <c r="F32" s="4"/>
      <c r="G32" s="4"/>
      <c r="H32" s="4"/>
      <c r="J32" s="176" t="s">
        <v>267</v>
      </c>
      <c r="K32" s="4"/>
      <c r="L32" s="4"/>
      <c r="M32" s="4"/>
      <c r="N32" s="228"/>
      <c r="P32" s="4"/>
      <c r="Q32" s="4"/>
      <c r="S32" s="4"/>
      <c r="V32" s="176" t="s">
        <v>231</v>
      </c>
      <c r="X32" s="4"/>
      <c r="Z32" s="176" t="s">
        <v>253</v>
      </c>
      <c r="AB32" s="4"/>
      <c r="AC32" s="4"/>
      <c r="AD32" s="4"/>
      <c r="AE32" s="4"/>
    </row>
  </sheetData>
  <sheetProtection password="8797" sheet="1" objects="1" scenarios="1" selectLockedCells="1"/>
  <mergeCells count="16">
    <mergeCell ref="AD30:AE30"/>
    <mergeCell ref="F3:P3"/>
    <mergeCell ref="F30:G30"/>
    <mergeCell ref="N30:O30"/>
    <mergeCell ref="V30:W30"/>
    <mergeCell ref="F5:P5"/>
    <mergeCell ref="A2:AE2"/>
    <mergeCell ref="A16:B16"/>
    <mergeCell ref="Q7:W7"/>
    <mergeCell ref="A9:B9"/>
    <mergeCell ref="Y7:AE7"/>
    <mergeCell ref="A7:G7"/>
    <mergeCell ref="I7:O7"/>
    <mergeCell ref="AB3:AE3"/>
    <mergeCell ref="A3:D3"/>
    <mergeCell ref="AB5:AE5"/>
  </mergeCells>
  <conditionalFormatting sqref="A10:G14 A17:G21 A24:G28 I10:O14 I17:O21 I24:O28 Q10:W14 Q17:W21 Q24:W28 Y10:AE14 Y17:AE21 Y24:AE28">
    <cfRule type="cellIs" priority="1" dxfId="1" operator="between" stopIfTrue="1">
      <formula>"a"</formula>
      <formula>"Z"</formula>
    </cfRule>
    <cfRule type="cellIs" priority="2" dxfId="0" operator="between" stopIfTrue="1">
      <formula>"""{"""</formula>
      <formula>"{Z"</formula>
    </cfRule>
  </conditionalFormatting>
  <printOptions/>
  <pageMargins left="0.45" right="0.25" top="0" bottom="0" header="0" footer="0"/>
  <pageSetup fitToHeight="1" fitToWidth="1" horizontalDpi="600" verticalDpi="600" orientation="landscape" r:id="rId1"/>
  <headerFooter alignWithMargins="0">
    <oddFooter>&amp;LNSES Budget Template - Approved&amp;C01/2023&amp;RESY Calendar</oddFooter>
  </headerFooter>
</worksheet>
</file>

<file path=xl/worksheets/sheet34.xml><?xml version="1.0" encoding="utf-8"?>
<worksheet xmlns="http://schemas.openxmlformats.org/spreadsheetml/2006/main" xmlns:r="http://schemas.openxmlformats.org/officeDocument/2006/relationships">
  <dimension ref="A1:CA115"/>
  <sheetViews>
    <sheetView zoomScalePageLayoutView="0" workbookViewId="0" topLeftCell="E27">
      <selection activeCell="F48" sqref="F48"/>
    </sheetView>
  </sheetViews>
  <sheetFormatPr defaultColWidth="9.140625" defaultRowHeight="12.75"/>
  <cols>
    <col min="1" max="1" width="4.28125" style="181" bestFit="1" customWidth="1"/>
    <col min="2" max="2" width="16.28125" style="181" bestFit="1" customWidth="1"/>
    <col min="3" max="3" width="11.421875" style="190" customWidth="1"/>
    <col min="4" max="5" width="83.421875" style="181" customWidth="1"/>
    <col min="6" max="6" width="9.140625" style="181" customWidth="1"/>
    <col min="7" max="7" width="10.7109375" style="181" customWidth="1"/>
    <col min="8" max="8" width="9.140625" style="181" customWidth="1"/>
    <col min="9" max="9" width="4.421875" style="181" customWidth="1"/>
    <col min="10" max="12" width="4.28125" style="181" customWidth="1"/>
    <col min="13" max="13" width="19.421875" style="181" customWidth="1"/>
    <col min="14" max="14" width="10.57421875" style="181" customWidth="1"/>
    <col min="15" max="15" width="0.5625" style="181" customWidth="1"/>
    <col min="16" max="16" width="22.28125" style="181" customWidth="1"/>
    <col min="17" max="17" width="4.7109375" style="181" customWidth="1"/>
    <col min="18" max="18" width="3.28125" style="181" customWidth="1"/>
    <col min="19" max="19" width="10.57421875" style="181" customWidth="1"/>
    <col min="20" max="21" width="4.28125" style="181" customWidth="1"/>
    <col min="22" max="22" width="13.28125" style="181" customWidth="1"/>
    <col min="23" max="23" width="5.7109375" style="181" customWidth="1"/>
    <col min="24" max="24" width="5.8515625" style="181" customWidth="1"/>
    <col min="25" max="25" width="8.8515625" style="181" customWidth="1"/>
    <col min="26" max="26" width="4.28125" style="181" customWidth="1"/>
    <col min="27" max="27" width="7.00390625" style="181" customWidth="1"/>
    <col min="28" max="28" width="6.7109375" style="181" customWidth="1"/>
    <col min="29" max="29" width="5.421875" style="181" customWidth="1"/>
    <col min="30" max="30" width="2.57421875" style="181" customWidth="1"/>
    <col min="31" max="31" width="6.8515625" style="181" customWidth="1"/>
    <col min="32" max="33" width="4.28125" style="181" customWidth="1"/>
    <col min="34" max="34" width="8.00390625" style="181" customWidth="1"/>
    <col min="35" max="36" width="4.28125" style="181" customWidth="1"/>
    <col min="37" max="37" width="27.140625" style="181" customWidth="1"/>
    <col min="38" max="38" width="9.421875" style="181" customWidth="1"/>
    <col min="39" max="39" width="4.140625" style="181" customWidth="1"/>
    <col min="40" max="40" width="20.7109375" style="181" customWidth="1"/>
    <col min="41" max="41" width="6.421875" style="181" customWidth="1"/>
    <col min="42" max="42" width="1.57421875" style="181" customWidth="1"/>
    <col min="43" max="43" width="5.7109375" style="181" customWidth="1"/>
    <col min="44" max="45" width="4.28125" style="181" customWidth="1"/>
    <col min="46" max="46" width="5.7109375" style="181" customWidth="1"/>
    <col min="47" max="48" width="4.28125" style="181" customWidth="1"/>
    <col min="49" max="49" width="6.8515625" style="181" customWidth="1"/>
    <col min="50" max="50" width="6.7109375" style="181" customWidth="1"/>
    <col min="51" max="51" width="5.28125" style="181" customWidth="1"/>
    <col min="52" max="52" width="6.140625" style="181" customWidth="1"/>
    <col min="53" max="53" width="9.8515625" style="181" customWidth="1"/>
    <col min="54" max="54" width="0.9921875" style="181" customWidth="1"/>
    <col min="55" max="55" width="6.7109375" style="181" customWidth="1"/>
    <col min="56" max="56" width="9.8515625" style="181" customWidth="1"/>
    <col min="57" max="57" width="1.1484375" style="181" customWidth="1"/>
    <col min="58" max="58" width="7.00390625" style="181" customWidth="1"/>
    <col min="59" max="60" width="4.28125" style="181" customWidth="1"/>
    <col min="61" max="61" width="6.57421875" style="181" customWidth="1"/>
    <col min="62" max="62" width="9.7109375" style="181" customWidth="1"/>
    <col min="63" max="63" width="0.9921875" style="181" customWidth="1"/>
    <col min="64" max="64" width="7.28125" style="181" customWidth="1"/>
    <col min="65" max="66" width="4.28125" style="181" customWidth="1"/>
    <col min="67" max="67" width="4.8515625" style="181" customWidth="1"/>
    <col min="68" max="69" width="4.28125" style="181" customWidth="1"/>
    <col min="70" max="70" width="5.00390625" style="181" customWidth="1"/>
    <col min="71" max="71" width="9.140625" style="181" customWidth="1"/>
    <col min="72" max="79" width="4.28125" style="181" customWidth="1"/>
    <col min="80" max="16384" width="9.140625" style="181" customWidth="1"/>
  </cols>
  <sheetData>
    <row r="1" spans="1:79" ht="13.5" thickTop="1">
      <c r="A1" s="178" t="s">
        <v>240</v>
      </c>
      <c r="B1" s="179" t="s">
        <v>241</v>
      </c>
      <c r="C1" s="180"/>
      <c r="F1" s="181" t="s">
        <v>242</v>
      </c>
      <c r="J1" s="182">
        <f aca="true" t="shared" si="0" ref="J1:J32">AS1</f>
        <v>30</v>
      </c>
      <c r="K1" s="182">
        <f aca="true" t="shared" si="1" ref="K1:K32">AT1</f>
        <v>31</v>
      </c>
      <c r="L1" s="182">
        <f aca="true" t="shared" si="2" ref="L1:L32">AU1</f>
        <v>0</v>
      </c>
      <c r="M1" s="182">
        <f aca="true" t="shared" si="3" ref="M1:M32">AV1</f>
        <v>0</v>
      </c>
      <c r="N1" s="182">
        <f aca="true" t="shared" si="4" ref="N1:N32">AW1</f>
        <v>0</v>
      </c>
      <c r="O1" s="182">
        <f aca="true" t="shared" si="5" ref="O1:O32">AX1</f>
        <v>0</v>
      </c>
      <c r="P1" s="182">
        <f aca="true" t="shared" si="6" ref="P1:P32">AY1</f>
        <v>1</v>
      </c>
      <c r="Q1" s="182">
        <v>1</v>
      </c>
      <c r="R1" s="182">
        <v>2</v>
      </c>
      <c r="S1" s="182">
        <v>3</v>
      </c>
      <c r="T1" s="182">
        <v>4</v>
      </c>
      <c r="U1" s="182">
        <v>5</v>
      </c>
      <c r="V1" s="182">
        <v>6</v>
      </c>
      <c r="W1" s="182">
        <v>7</v>
      </c>
      <c r="X1" s="182">
        <v>1</v>
      </c>
      <c r="Y1" s="182">
        <v>2</v>
      </c>
      <c r="Z1" s="182">
        <v>3</v>
      </c>
      <c r="AA1" s="182">
        <v>4</v>
      </c>
      <c r="AB1" s="182">
        <v>5</v>
      </c>
      <c r="AC1" s="182">
        <v>6</v>
      </c>
      <c r="AD1" s="182">
        <v>7</v>
      </c>
      <c r="AE1" s="182">
        <v>1</v>
      </c>
      <c r="AF1" s="182">
        <v>2</v>
      </c>
      <c r="AG1" s="182">
        <v>3</v>
      </c>
      <c r="AH1" s="182">
        <v>4</v>
      </c>
      <c r="AI1" s="182">
        <v>5</v>
      </c>
      <c r="AJ1" s="182">
        <v>6</v>
      </c>
      <c r="AK1" s="182">
        <v>7</v>
      </c>
      <c r="AL1" s="182">
        <v>1</v>
      </c>
      <c r="AM1" s="182">
        <v>2</v>
      </c>
      <c r="AN1" s="182">
        <v>3</v>
      </c>
      <c r="AO1" s="182">
        <v>4</v>
      </c>
      <c r="AP1" s="182">
        <v>5</v>
      </c>
      <c r="AQ1" s="182">
        <v>6</v>
      </c>
      <c r="AR1" s="182">
        <v>7</v>
      </c>
      <c r="AS1" s="182">
        <f ca="1">OFFSET(INDIRECT(VLOOKUP(VLOOKUP(clFiscalYear,rgPerpCal,8,TRUE),rgPerpMons,2,TRUE)),0,0)</f>
        <v>30</v>
      </c>
      <c r="AT1" s="182">
        <f ca="1">OFFSET(INDIRECT(VLOOKUP(VLOOKUP(clFiscalYear,rgPerpCal,8,TRUE),rgPerpMons,2,TRUE)),0,1)</f>
        <v>31</v>
      </c>
      <c r="AU1" s="182">
        <f ca="1">OFFSET(INDIRECT(VLOOKUP(VLOOKUP(clFiscalYear,rgPerpCal,8,TRUE),rgPerpMons,2,TRUE)),0,2)</f>
        <v>0</v>
      </c>
      <c r="AV1" s="182">
        <f ca="1">OFFSET(INDIRECT(VLOOKUP(VLOOKUP(clFiscalYear,rgPerpCal,8,TRUE),rgPerpMons,2,TRUE)),0,3)</f>
        <v>0</v>
      </c>
      <c r="AW1" s="182">
        <f ca="1">OFFSET(INDIRECT(VLOOKUP(VLOOKUP(clFiscalYear,rgPerpCal,8,TRUE),rgPerpMons,2,TRUE)),0,4)</f>
        <v>0</v>
      </c>
      <c r="AX1" s="182">
        <f ca="1">OFFSET(INDIRECT(VLOOKUP(VLOOKUP(clFiscalYear,rgPerpCal,8,TRUE),rgPerpMons,2,TRUE)),0,5)</f>
        <v>0</v>
      </c>
      <c r="AY1" s="182">
        <f ca="1">OFFSET(INDIRECT(VLOOKUP(VLOOKUP(clFiscalYear,rgPerpCal,8,TRUE),rgPerpMons,2,TRUE)),0,6)</f>
        <v>1</v>
      </c>
      <c r="AZ1" s="181">
        <f aca="true" t="shared" si="7" ref="AZ1:BF5">IF(AS1&lt;&gt;0,DATEVALUE(AS1&amp;" July "&amp;clFiscalYear-1),0)</f>
        <v>45137</v>
      </c>
      <c r="BA1" s="181">
        <f t="shared" si="7"/>
        <v>45138</v>
      </c>
      <c r="BB1" s="181">
        <f t="shared" si="7"/>
        <v>0</v>
      </c>
      <c r="BC1" s="181">
        <f t="shared" si="7"/>
        <v>0</v>
      </c>
      <c r="BD1" s="181">
        <f t="shared" si="7"/>
        <v>0</v>
      </c>
      <c r="BE1" s="181">
        <f t="shared" si="7"/>
        <v>0</v>
      </c>
      <c r="BF1" s="181">
        <f t="shared" si="7"/>
        <v>45108</v>
      </c>
      <c r="BG1" s="182" t="str">
        <f>IF(AS1&lt;&gt;0,IF(OR(clCalFirstDay=AZ1,clCalLastDay=AZ1),"&lt;"&amp;AS1&amp;"&gt;",IF(OR(clCalFirstDay&gt;AZ1,clCalLastDay&lt;AZ1),"."&amp;AS1,IF(OR(clCalHol1=AZ1,clCalHol2=AZ1,clCalHol3=AZ1,clCalHol4=AZ1,clCalHol5=AZ1,clCalHol6=AZ1,clCalHol7=AZ1,clCalHol8=AZ1,clCalHol9=AZ1,clCalHol10=AZ1,clCalHol11=AZ1,clCalHol12=AZ1,clCalHol13=AZ1,clCalHol14=AZ1,clCalHol15=AZ1,clCalHol16=AZ1,clCalHol17=AZ1,clCalHol18=AZ1),"x"&amp;AS1,IF(OR(AND(clCalFrom1&lt;=AZ1,clCalTo1&gt;=AZ1),AND(clCalFrom2&lt;=AZ1,clCalTo2&gt;=AZ1),AND(clCalFrom3&lt;=AZ1,clCalTo3&gt;=AZ1),AND(clCalFrom4&lt;=AZ1,clCalTo4&gt;=AZ1),AND(clCalFrom5&lt;=AZ1,clCalTo5&gt;=AZ1),AND(clCalFrom6&lt;=AZ1,clCalTo6&gt;=AZ1),AND(clCalFrom7&lt;=AZ1,clCalTo7&gt;=AZ1),AND(clCalFrom8&lt;=AZ1,clCalTo8&gt;=AZ1)),"x"&amp;AS1,IF(clCalNoWEnd="Yes","{"&amp;AS1&amp;"}",AS1))))),0)</f>
        <v>.30</v>
      </c>
      <c r="BH1" s="182" t="str">
        <f>IF(AT1&lt;&gt;0,IF(OR(clCalFirstDay=BA1,clCalLastDay=BA1),"&lt;"&amp;AT1&amp;"&gt;",IF(OR(clCalFirstDay&gt;BA1,clCalLastDay&lt;BA1),"."&amp;AT1,IF(OR(clCalHol1=BA1,clCalHol2=BA1,clCalHol3=BA1,clCalHol4=BA1,clCalHol5=BA1,clCalHol6=BA1,clCalHol7=BA1,clCalHol8=BA1,clCalHol9=BA1,clCalHol10=BA1,clCalHol11=BA1,clCalHol12=BA1,clCalHol13=BA1,clCalHol14=BA1,clCalHol15=BA1,clCalHol16=BA1,clCalHol17=BA1,clCalHol18=BA1),"x"&amp;AT1,IF(OR(AND(clCalFrom1&lt;=BA1,clCalTo1&gt;=BA1),AND(clCalFrom2&lt;=BA1,clCalTo2&gt;=BA1),AND(clCalFrom3&lt;=BA1,clCalTo3&gt;=BA1),AND(clCalFrom4&lt;=BA1,clCalTo4&gt;=BA1),AND(clCalFrom5&lt;=BA1,clCalTo5&gt;=BA1),AND(clCalFrom6&lt;=BA1,clCalTo6&gt;=BA1),AND(clCalFrom7&lt;=BA1,clCalTo7&gt;=BA1),AND(clCalFrom8&lt;=BA1,clCalTo8&gt;=BA1)),"x"&amp;AT1,AT1)))),0)</f>
        <v>.31</v>
      </c>
      <c r="BI1" s="182">
        <f aca="true" t="shared" si="8" ref="BI1:BI60">IF(AU1&lt;&gt;0,IF(OR(clCalFirstDay=BB1,clCalLastDay=BB1),"&lt;"&amp;AU1&amp;"&gt;",IF(OR(clCalFirstDay&gt;BB1,clCalLastDay&lt;BB1),"."&amp;AU1,IF(OR(clCalHol1=BB1,clCalHol2=BB1,clCalHol3=BB1,clCalHol4=BB1,clCalHol5=BB1,clCalHol6=BB1,clCalHol7=BB1,clCalHol8=BB1,clCalHol9=BB1,clCalHol10=BB1,clCalHol11=BB1,clCalHol12=BB1,clCalHol13=BB1,clCalHol14=BB1,clCalHol15=BB1,clCalHol16=BB1,clCalHol17=BB1,clCalHol18=BB1),"x"&amp;AU1,IF(OR(AND(clCalFrom1&lt;=BB1,clCalTo1&gt;=BB1),AND(clCalFrom2&lt;=BB1,clCalTo2&gt;=BB1),AND(clCalFrom3&lt;=BB1,clCalTo3&gt;=BB1),AND(clCalFrom4&lt;=BB1,clCalTo4&gt;=BB1),AND(clCalFrom5&lt;=BB1,clCalTo5&gt;=BB1),AND(clCalFrom6&lt;=BB1,clCalTo6&gt;=BB1),AND(clCalFrom7&lt;=BB1,clCalTo7&gt;=BB1),AND(clCalFrom8&lt;=BB1,clCalTo8&gt;=BB1)),"x"&amp;AU1,AU1)))),0)</f>
        <v>0</v>
      </c>
      <c r="BJ1" s="182">
        <f aca="true" t="shared" si="9" ref="BJ1:BJ60">IF(AV1&lt;&gt;0,IF(OR(clCalFirstDay=BC1,clCalLastDay=BC1),"&lt;"&amp;AV1&amp;"&gt;",IF(OR(clCalFirstDay&gt;BC1,clCalLastDay&lt;BC1),"."&amp;AV1,IF(OR(clCalHol1=BC1,clCalHol2=BC1,clCalHol3=BC1,clCalHol4=BC1,clCalHol5=BC1,clCalHol6=BC1,clCalHol7=BC1,clCalHol8=BC1,clCalHol9=BC1,clCalHol10=BC1,clCalHol11=BC1,clCalHol12=BC1,clCalHol13=BC1,clCalHol14=BC1,clCalHol15=BC1,clCalHol16=BC1,clCalHol17=BC1,clCalHol18=BC1),"x"&amp;AV1,IF(OR(AND(clCalFrom1&lt;=BC1,clCalTo1&gt;=BC1),AND(clCalFrom2&lt;=BC1,clCalTo2&gt;=BC1),AND(clCalFrom3&lt;=BC1,clCalTo3&gt;=BC1),AND(clCalFrom4&lt;=BC1,clCalTo4&gt;=BC1),AND(clCalFrom5&lt;=BC1,clCalTo5&gt;=BC1),AND(clCalFrom6&lt;=BC1,clCalTo6&gt;=BC1),AND(clCalFrom7&lt;=BC1,clCalTo7&gt;=BC1),AND(clCalFrom8&lt;=BC1,clCalTo8&gt;=BC1)),"x"&amp;AV1,AV1)))),0)</f>
        <v>0</v>
      </c>
      <c r="BK1" s="182">
        <f aca="true" t="shared" si="10" ref="BK1:BK60">IF(AW1&lt;&gt;0,IF(OR(clCalFirstDay=BD1,clCalLastDay=BD1),"&lt;"&amp;AW1&amp;"&gt;",IF(OR(clCalFirstDay&gt;BD1,clCalLastDay&lt;BD1),"."&amp;AW1,IF(OR(clCalHol1=BD1,clCalHol2=BD1,clCalHol3=BD1,clCalHol4=BD1,clCalHol5=BD1,clCalHol6=BD1,clCalHol7=BD1,clCalHol8=BD1,clCalHol9=BD1,clCalHol10=BD1,clCalHol11=BD1,clCalHol12=BD1,clCalHol13=BD1,clCalHol14=BD1,clCalHol15=BD1,clCalHol16=BD1,clCalHol17=BD1,clCalHol18=BD1),"x"&amp;AW1,IF(OR(AND(clCalFrom1&lt;=BD1,clCalTo1&gt;=BD1),AND(clCalFrom2&lt;=BD1,clCalTo2&gt;=BD1),AND(clCalFrom3&lt;=BD1,clCalTo3&gt;=BD1),AND(clCalFrom4&lt;=BD1,clCalTo4&gt;=BD1),AND(clCalFrom5&lt;=BD1,clCalTo5&gt;=BD1),AND(clCalFrom6&lt;=BD1,clCalTo6&gt;=BD1),AND(clCalFrom7&lt;=BD1,clCalTo7&gt;=BD1),AND(clCalFrom8&lt;=BD1,clCalTo8&gt;=BD1)),"x"&amp;AW1,AW1)))),0)</f>
        <v>0</v>
      </c>
      <c r="BL1" s="182">
        <f aca="true" t="shared" si="11" ref="BL1:BL60">IF(AX1&lt;&gt;0,IF(OR(clCalFirstDay=BE1,clCalLastDay=BE1),"&lt;"&amp;AX1&amp;"&gt;",IF(OR(clCalFirstDay&gt;BE1,clCalLastDay&lt;BE1),"."&amp;AX1,IF(OR(clCalHol1=BE1,clCalHol2=BE1,clCalHol3=BE1,clCalHol4=BE1,clCalHol5=BE1,clCalHol6=BE1,clCalHol7=BE1,clCalHol8=BE1,clCalHol9=BE1,clCalHol10=BE1,clCalHol11=BE1,clCalHol12=BE1,clCalHol13=BE1,clCalHol14=BE1,clCalHol15=BE1,clCalHol16=BE1,clCalHol17=BE1,clCalHol18=BE1),"x"&amp;AX1,IF(OR(AND(clCalFrom1&lt;=BE1,clCalTo1&gt;=BE1),AND(clCalFrom2&lt;=BE1,clCalTo2&gt;=BE1),AND(clCalFrom3&lt;=BE1,clCalTo3&gt;=BE1),AND(clCalFrom4&lt;=BE1,clCalTo4&gt;=BE1),AND(clCalFrom5&lt;=BE1,clCalTo5&gt;=BE1),AND(clCalFrom6&lt;=BE1,clCalTo6&gt;=BE1),AND(clCalFrom7&lt;=BE1,clCalTo7&gt;=BE1),AND(clCalFrom8&lt;=BE1,clCalTo8&gt;=BE1)),"x"&amp;AX1,AX1)))),0)</f>
        <v>0</v>
      </c>
      <c r="BM1" s="182" t="str">
        <f aca="true" t="shared" si="12" ref="BM1:BM60">IF(AY1&lt;&gt;0,IF(OR(clCalFirstDay=BF1,clCalLastDay=BF1),"&lt;"&amp;AY1&amp;"&gt;",IF(OR(clCalFirstDay&gt;BF1,clCalLastDay&lt;BF1),"."&amp;AY1,IF(OR(clCalHol1=BF1,clCalHol2=BF1,clCalHol3=BF1,clCalHol4=BF1,clCalHol5=BF1,clCalHol6=BF1,clCalHol7=BF1,clCalHol8=BF1,clCalHol9=BF1,clCalHol10=BF1,clCalHol11=BF1,clCalHol12=BF1,clCalHol13=BF1,clCalHol14=BF1,clCalHol15=BF1,clCalHol16=BF1,clCalHol17=BF1,clCalHol18=BF1),"x"&amp;AY1,IF(OR(AND(clCalFrom1&lt;=BF1,clCalTo1&gt;=BF1),AND(clCalFrom2&lt;=BF1,clCalTo2&gt;=BF1),AND(clCalFrom3&lt;=BF1,clCalTo3&gt;=BF1),AND(clCalFrom4&lt;=BF1,clCalTo4&gt;=BF1),AND(clCalFrom5&lt;=BF1,clCalTo5&gt;=BF1),AND(clCalFrom6&lt;=BF1,clCalTo6&gt;=BF1),AND(clCalFrom7&lt;=BF1,clCalTo7&gt;=BF1),AND(clCalFrom8&lt;=BF1,clCalTo8&gt;=BF1)),"x"&amp;AY1,IF(clCalNoWEnd="Yes","{"&amp;AY1&amp;"}",AY1))))),0)</f>
        <v>.1</v>
      </c>
      <c r="BN1" s="218" t="str">
        <f>IF(AS1&lt;&gt;0,IF(OR(clCa2FirstDay=AZ1,clCa2LastDay=AZ1),"&lt;"&amp;AS1&amp;"&gt;",IF(OR(clCa2FirstDay&gt;AZ1,clCa2LastDay&lt;AZ1),"."&amp;AS1,IF(OR(clCa2Hol1=AZ1,clCa2Hol2=AZ1,clCa2Hol3=AZ1,clCa2Hol4=AZ1,clCa2Hol5=AZ1,clCa2Hol6=AZ1,clCa2Hol7=AZ1,clCa2Hol8=AZ1,clCa2Hol9=AZ1,clCa2Hol10=AZ1,clCa2Hol11=AZ1,clCa2Hol12=AZ1,clCa2Hol13=AZ1,clCa2Hol14=AZ1,clCa2Hol15=AZ1,clCa2Hol16=AZ1,clCa2Hol17=AZ1,clCa2Hol18=AZ1),"x"&amp;AS1,IF(OR(AND(clCa2From1&lt;=AZ1,clCa2To1&gt;=AZ1),AND(clCa2From2&lt;=AZ1,clCa2To2&gt;=AZ1),AND(clCa2From3&lt;=AZ1,clCa2To3&gt;=AZ1),AND(clCa2From4&lt;=AZ1,clCa2To4&gt;=AZ1),AND(clCa2From5&lt;=AZ1,clCa2To5&gt;=AZ1),AND(clCa2From6&lt;=AZ1,clCa2To6&gt;=AZ1),AND(clCa2From7&lt;=AZ1,clCa2To7&gt;=AZ1),AND(clCa2From8&lt;=AZ1,clCa2To8&gt;=AZ1)),"x"&amp;AS1,IF(clCa2NoWEnd="Yes","{"&amp;AS1&amp;"}",AS1))))),0)</f>
        <v>.30</v>
      </c>
      <c r="BO1" s="218" t="str">
        <f>IF(AT1&lt;&gt;0,IF(OR(clCa2FirstDay=BA1,clCa2LastDay=BA1),"&lt;"&amp;AT1&amp;"&gt;",IF(OR(clCa2FirstDay&gt;BA1,clCa2LastDay&lt;BA1),"."&amp;AT1,IF(OR(clCa2Hol1=BA1,clCa2Hol2=BA1,clCa2Hol3=BA1,clCa2Hol4=BA1,clCa2Hol5=BA1,clCa2Hol6=BA1,clCa2Hol7=BA1,clCa2Hol8=BA1,clCa2Hol9=BA1,clCa2Hol10=BA1,clCa2Hol11=BA1,clCa2Hol12=BA1,clCa2Hol13=BA1,clCa2Hol14=BA1,clCa2Hol15=BA1,clCa2Hol16=BA1,clCa2Hol17=BA1,clCa2Hol18=BA1),"x"&amp;AT1,IF(OR(AND(clCa2From1&lt;=BA1,clCa2To1&gt;=BA1),AND(clCa2From2&lt;=BA1,clCa2To2&gt;=BA1),AND(clCa2From3&lt;=BA1,clCa2To3&gt;=BA1),AND(clCa2From4&lt;=BA1,clCa2To4&gt;=BA1),AND(clCa2From5&lt;=BA1,clCa2To5&gt;=BA1),AND(clCa2From6&lt;=BA1,clCa2To6&gt;=BA1),AND(clCa2From7&lt;=BA1,clCa2To7&gt;=BA1),AND(clCa2From8&lt;=BA1,clCa2To8&gt;=BA1)),"x"&amp;AT1,AT1)))),0)</f>
        <v>.31</v>
      </c>
      <c r="BP1" s="218">
        <f aca="true" t="shared" si="13" ref="BP1:BP60">IF(AU1&lt;&gt;0,IF(OR(clCa2FirstDay=BB1,clCa2LastDay=BB1),"&lt;"&amp;AU1&amp;"&gt;",IF(OR(clCa2FirstDay&gt;BB1,clCa2LastDay&lt;BB1),"."&amp;AU1,IF(OR(clCa2Hol1=BB1,clCa2Hol2=BB1,clCa2Hol3=BB1,clCa2Hol4=BB1,clCa2Hol5=BB1,clCa2Hol6=BB1,clCa2Hol7=BB1,clCa2Hol8=BB1,clCa2Hol9=BB1,clCa2Hol10=BB1,clCa2Hol11=BB1,clCa2Hol12=BB1,clCa2Hol13=BB1,clCa2Hol14=BB1,clCa2Hol15=BB1,clCa2Hol16=BB1,clCa2Hol17=BB1,clCa2Hol18=BB1),"x"&amp;AU1,IF(OR(AND(clCa2From1&lt;=BB1,clCa2To1&gt;=BB1),AND(clCa2From2&lt;=BB1,clCa2To2&gt;=BB1),AND(clCa2From3&lt;=BB1,clCa2To3&gt;=BB1),AND(clCa2From4&lt;=BB1,clCa2To4&gt;=BB1),AND(clCa2From5&lt;=BB1,clCa2To5&gt;=BB1),AND(clCa2From6&lt;=BB1,clCa2To6&gt;=BB1),AND(clCa2From7&lt;=BB1,clCa2To7&gt;=BB1),AND(clCa2From8&lt;=BB1,clCa2To8&gt;=BB1)),"x"&amp;AU1,AU1)))),0)</f>
        <v>0</v>
      </c>
      <c r="BQ1" s="218">
        <f aca="true" t="shared" si="14" ref="BQ1:BQ60">IF(AV1&lt;&gt;0,IF(OR(clCa2FirstDay=BC1,clCa2LastDay=BC1),"&lt;"&amp;AV1&amp;"&gt;",IF(OR(clCa2FirstDay&gt;BC1,clCa2LastDay&lt;BC1),"."&amp;AV1,IF(OR(clCa2Hol1=BC1,clCa2Hol2=BC1,clCa2Hol3=BC1,clCa2Hol4=BC1,clCa2Hol5=BC1,clCa2Hol6=BC1,clCa2Hol7=BC1,clCa2Hol8=BC1,clCa2Hol9=BC1,clCa2Hol10=BC1,clCa2Hol11=BC1,clCa2Hol12=BC1,clCa2Hol13=BC1,clCa2Hol14=BC1,clCa2Hol15=BC1,clCa2Hol16=BC1,clCa2Hol17=BC1,clCa2Hol18=BC1),"x"&amp;AV1,IF(OR(AND(clCa2From1&lt;=BC1,clCa2To1&gt;=BC1),AND(clCa2From2&lt;=BC1,clCa2To2&gt;=BC1),AND(clCa2From3&lt;=BC1,clCa2To3&gt;=BC1),AND(clCa2From4&lt;=BC1,clCa2To4&gt;=BC1),AND(clCa2From5&lt;=BC1,clCa2To5&gt;=BC1),AND(clCa2From6&lt;=BC1,clCa2To6&gt;=BC1),AND(clCa2From7&lt;=BC1,clCa2To7&gt;=BC1),AND(clCa2From8&lt;=BC1,clCa2To8&gt;=BC1)),"x"&amp;AV1,AV1)))),0)</f>
        <v>0</v>
      </c>
      <c r="BR1" s="218">
        <f aca="true" t="shared" si="15" ref="BR1:BR60">IF(AW1&lt;&gt;0,IF(OR(clCa2FirstDay=BD1,clCa2LastDay=BD1),"&lt;"&amp;AW1&amp;"&gt;",IF(OR(clCa2FirstDay&gt;BD1,clCa2LastDay&lt;BD1),"."&amp;AW1,IF(OR(clCa2Hol1=BD1,clCa2Hol2=BD1,clCa2Hol3=BD1,clCa2Hol4=BD1,clCa2Hol5=BD1,clCa2Hol6=BD1,clCa2Hol7=BD1,clCa2Hol8=BD1,clCa2Hol9=BD1,clCa2Hol10=BD1,clCa2Hol11=BD1,clCa2Hol12=BD1,clCa2Hol13=BD1,clCa2Hol14=BD1,clCa2Hol15=BD1,clCa2Hol16=BD1,clCa2Hol17=BD1,clCa2Hol18=BD1),"x"&amp;AW1,IF(OR(AND(clCa2From1&lt;=BD1,clCa2To1&gt;=BD1),AND(clCa2From2&lt;=BD1,clCa2To2&gt;=BD1),AND(clCa2From3&lt;=BD1,clCa2To3&gt;=BD1),AND(clCa2From4&lt;=BD1,clCa2To4&gt;=BD1),AND(clCa2From5&lt;=BD1,clCa2To5&gt;=BD1),AND(clCa2From6&lt;=BD1,clCa2To6&gt;=BD1),AND(clCa2From7&lt;=BD1,clCa2To7&gt;=BD1),AND(clCa2From8&lt;=BD1,clCa2To8&gt;=BD1)),"x"&amp;AW1,AW1)))),0)</f>
        <v>0</v>
      </c>
      <c r="BS1" s="218">
        <f aca="true" t="shared" si="16" ref="BS1:BS60">IF(AX1&lt;&gt;0,IF(OR(clCa2FirstDay=BE1,clCa2LastDay=BE1),"&lt;"&amp;AX1&amp;"&gt;",IF(OR(clCa2FirstDay&gt;BE1,clCa2LastDay&lt;BE1),"."&amp;AX1,IF(OR(clCa2Hol1=BE1,clCa2Hol2=BE1,clCa2Hol3=BE1,clCa2Hol4=BE1,clCa2Hol5=BE1,clCa2Hol6=BE1,clCa2Hol7=BE1,clCa2Hol8=BE1,clCa2Hol9=BE1,clCa2Hol10=BE1,clCa2Hol11=BE1,clCa2Hol12=BE1,clCa2Hol13=BE1,clCa2Hol14=BE1,clCa2Hol15=BE1,clCa2Hol16=BE1,clCa2Hol17=BE1,clCa2Hol18=BE1),"x"&amp;AX1,IF(OR(AND(clCa2From1&lt;=BE1,clCa2To1&gt;=BE1),AND(clCa2From2&lt;=BE1,clCa2To2&gt;=BE1),AND(clCa2From3&lt;=BE1,clCa2To3&gt;=BE1),AND(clCa2From4&lt;=BE1,clCa2To4&gt;=BE1),AND(clCa2From5&lt;=BE1,clCa2To5&gt;=BE1),AND(clCa2From6&lt;=BE1,clCa2To6&gt;=BE1),AND(clCa2From7&lt;=BE1,clCa2To7&gt;=BE1),AND(clCa2From8&lt;=BE1,clCa2To8&gt;=BE1)),"x"&amp;AX1,AX1)))),0)</f>
        <v>0</v>
      </c>
      <c r="BT1" s="218" t="str">
        <f aca="true" t="shared" si="17" ref="BT1:BT60">IF(AY1&lt;&gt;0,IF(OR(clCa2FirstDay=BF1,clCa2LastDay=BF1),"&lt;"&amp;AY1&amp;"&gt;",IF(OR(clCa2FirstDay&gt;BF1,clCa2LastDay&lt;BF1),"."&amp;AY1,IF(OR(clCa2Hol1=BF1,clCa2Hol2=BF1,clCa2Hol3=BF1,clCa2Hol4=BF1,clCa2Hol5=BF1,clCa2Hol6=BF1,clCa2Hol7=BF1,clCa2Hol8=BF1,clCa2Hol9=BF1,clCa2Hol10=BF1,clCa2Hol11=BF1,clCa2Hol12=BF1,clCa2Hol13=BF1,clCa2Hol14=BF1,clCa2Hol15=BF1,clCa2Hol16=BF1,clCa2Hol17=BF1,clCa2Hol18=BF1),"x"&amp;AY1,IF(OR(AND(clCa2From1&lt;=BF1,clCa2To1&gt;=BF1),AND(clCa2From2&lt;=BF1,clCa2To2&gt;=BF1),AND(clCa2From3&lt;=BF1,clCa2To3&gt;=BF1),AND(clCa2From4&lt;=BF1,clCa2To4&gt;=BF1),AND(clCa2From5&lt;=BF1,clCa2To5&gt;=BF1),AND(clCa2From6&lt;=BF1,clCa2To6&gt;=BF1),AND(clCa2From7&lt;=BF1,clCa2To7&gt;=BF1),AND(clCa2From8&lt;=BF1,clCa2To8&gt;=BF1)),"x"&amp;AY1,IF(clCa2NoWEnd="Yes","{"&amp;AY1&amp;"}",AY1))))),0)</f>
        <v>.1</v>
      </c>
      <c r="BU1" s="218" t="str">
        <f>IF(AS1&lt;&gt;0,IF(OR(clCa3FirstDay=AZ1,clCa3LastDay=AZ1,clCa3FirstDay2=AZ1,clCa3LastDay2=AZ1),"&lt;"&amp;AS1&amp;"&gt;",IF(OR(clCa3FirstDay&gt;AZ1,clCa3LastDay2&lt;AZ1,AND(clCa3LastDay&lt;AZ1,clCa3FirstDay2&gt;AZ1)),"."&amp;AS1,IF(OR(clCa3Hol1=AZ1,clCa3Hol2=AZ1,clCa3Hol3=AZ1,clCa3Hol4=AZ1,clCa3Hol5=AZ1,clCa3Hol6=AZ1,clCa3Hol7=AZ1,clCa3Hol8=AZ1,clCa3Hol9=AZ1,clCa3Hol10=AZ1),"x"&amp;AS1,IF(OR(AND(clCa3From1&lt;=AZ1,clCa3To1&gt;=AZ1),AND(clCa3From2&lt;=AZ1,clCa3To2&gt;=AZ1),AND(clCa3From3&lt;=AZ1,clCa3To3&gt;=AZ1),AND(clCa3From4&lt;=AZ1,clCa3To4&gt;=AZ1),AND(clCa3From5&lt;=AZ1,clCa3To5&gt;=AZ1),AND(clCa3From6&lt;=AZ1,clCa3To6&gt;=AZ1)),"x"&amp;AS1,IF(clCa3NoWEnd="Yes","{"&amp;AS1&amp;"}",AS1))))),0)</f>
        <v>.30</v>
      </c>
      <c r="BV1" s="218" t="str">
        <f>IF(AT1&lt;&gt;0,IF(OR(clCa3FirstDay=BA1,clCa3LastDay=BA1,clCa3FirstDay2=BA1,clCa3LastDay2=BA1),"&lt;"&amp;AT1&amp;"&gt;",IF(OR(clCa3FirstDay&gt;BA1,clCa3LastDay2&lt;BA1,AND(clCa3LastDay&lt;BA1,clCa3FirstDay2&gt;BA1)),"."&amp;AT1,IF(OR(clCa3Hol1=BA1,clCa3Hol2=BA1,clCa3Hol3=BA1,clCa3Hol4=BA1,clCa3Hol5=BA1,clCa3Hol6=BA1,clCa3Hol7=BA1,clCa3Hol8=BA1,clCa3Hol9=BA1,clCa3Hol10=BA1),"x"&amp;AT1,IF(OR(AND(clCa3From1&lt;=BA1,clCa3To1&gt;=BA1),AND(clCa3From2&lt;=BA1,clCa3To2&gt;=BA1),AND(clCa3From3&lt;=BA1,clCa3To3&gt;=BA1),AND(clCa3From4&lt;=BA1,clCa3To4&gt;=BA1),AND(clCa3From5&lt;=BA1,clCa3To5&gt;=BA1),AND(clCa3From6&lt;=BA1,clCa3To6&gt;=BA1)),"x"&amp;AT1,AT1)))),0)</f>
        <v>.31</v>
      </c>
      <c r="BW1" s="218">
        <f aca="true" t="shared" si="18" ref="BW1:BW60">IF(AU1&lt;&gt;0,IF(OR(clCa3FirstDay=BB1,clCa3LastDay=BB1,clCa3FirstDay2=BB1,clCa3LastDay2=BB1),"&lt;"&amp;AU1&amp;"&gt;",IF(OR(clCa3FirstDay&gt;BB1,clCa3LastDay2&lt;BB1,AND(clCa3LastDay&lt;BB1,clCa3FirstDay2&gt;BB1)),"."&amp;AU1,IF(OR(clCa3Hol1=BB1,clCa3Hol2=BB1,clCa3Hol3=BB1,clCa3Hol4=BB1,clCa3Hol5=BB1,clCa3Hol6=BB1,clCa3Hol7=BB1,clCa3Hol8=BB1,clCa3Hol9=BB1,clCa3Hol10=BB1),"x"&amp;AU1,IF(OR(AND(clCa3From1&lt;=BB1,clCa3To1&gt;=BB1),AND(clCa3From2&lt;=BB1,clCa3To2&gt;=BB1),AND(clCa3From3&lt;=BB1,clCa3To3&gt;=BB1),AND(clCa3From4&lt;=BB1,clCa3To4&gt;=BB1),AND(clCa3From5&lt;=BB1,clCa3To5&gt;=BB1),AND(clCa3From6&lt;=BB1,clCa3To6&gt;=BB1)),"x"&amp;AU1,AU1)))),0)</f>
        <v>0</v>
      </c>
      <c r="BX1" s="218">
        <f aca="true" t="shared" si="19" ref="BX1:BX60">IF(AV1&lt;&gt;0,IF(OR(clCa3FirstDay=BC1,clCa3LastDay=BC1,clCa3FirstDay2=BC1,clCa3LastDay2=BC1),"&lt;"&amp;AV1&amp;"&gt;",IF(OR(clCa3FirstDay&gt;BC1,clCa3LastDay2&lt;BC1,AND(clCa3LastDay&lt;BC1,clCa3FirstDay2&gt;BC1)),"."&amp;AV1,IF(OR(clCa3Hol1=BC1,clCa3Hol2=BC1,clCa3Hol3=BC1,clCa3Hol4=BC1,clCa3Hol5=BC1,clCa3Hol6=BC1,clCa3Hol7=BC1,clCa3Hol8=BC1,clCa3Hol9=BC1,clCa3Hol10=BC1),"x"&amp;AV1,IF(OR(AND(clCa3From1&lt;=BC1,clCa3To1&gt;=BC1),AND(clCa3From2&lt;=BC1,clCa3To2&gt;=BC1),AND(clCa3From3&lt;=BC1,clCa3To3&gt;=BC1),AND(clCa3From4&lt;=BC1,clCa3To4&gt;=BC1),AND(clCa3From5&lt;=BC1,clCa3To5&gt;=BC1),AND(clCa3From6&lt;=BC1,clCa3To6&gt;=BC1)),"x"&amp;AV1,AV1)))),0)</f>
        <v>0</v>
      </c>
      <c r="BY1" s="218">
        <f aca="true" t="shared" si="20" ref="BY1:BY60">IF(AW1&lt;&gt;0,IF(OR(clCa3FirstDay=BD1,clCa3LastDay=BD1,clCa3FirstDay2=BD1,clCa3LastDay2=BD1),"&lt;"&amp;AW1&amp;"&gt;",IF(OR(clCa3FirstDay&gt;BD1,clCa3LastDay2&lt;BD1,AND(clCa3LastDay&lt;BD1,clCa3FirstDay2&gt;BD1)),"."&amp;AW1,IF(OR(clCa3Hol1=BD1,clCa3Hol2=BD1,clCa3Hol3=BD1,clCa3Hol4=BD1,clCa3Hol5=BD1,clCa3Hol6=BD1,clCa3Hol7=BD1,clCa3Hol8=BD1,clCa3Hol9=BD1,clCa3Hol10=BD1),"x"&amp;AW1,IF(OR(AND(clCa3From1&lt;=BD1,clCa3To1&gt;=BD1),AND(clCa3From2&lt;=BD1,clCa3To2&gt;=BD1),AND(clCa3From3&lt;=BD1,clCa3To3&gt;=BD1),AND(clCa3From4&lt;=BD1,clCa3To4&gt;=BD1),AND(clCa3From5&lt;=BD1,clCa3To5&gt;=BD1),AND(clCa3From6&lt;=BD1,clCa3To6&gt;=BD1)),"x"&amp;AW1,AW1)))),0)</f>
        <v>0</v>
      </c>
      <c r="BZ1" s="218">
        <f aca="true" t="shared" si="21" ref="BZ1:BZ60">IF(AX1&lt;&gt;0,IF(OR(clCa3FirstDay=BE1,clCa3LastDay=BE1,clCa3FirstDay2=BE1,clCa3LastDay2=BE1),"&lt;"&amp;AX1&amp;"&gt;",IF(OR(clCa3FirstDay&gt;BE1,clCa3LastDay2&lt;BE1,AND(clCa3LastDay&lt;BE1,clCa3FirstDay2&gt;BE1)),"."&amp;AX1,IF(OR(clCa3Hol1=BE1,clCa3Hol2=BE1,clCa3Hol3=BE1,clCa3Hol4=BE1,clCa3Hol5=BE1,clCa3Hol6=BE1,clCa3Hol7=BE1,clCa3Hol8=BE1,clCa3Hol9=BE1,clCa3Hol10=BE1),"x"&amp;AX1,IF(OR(AND(clCa3From1&lt;=BE1,clCa3To1&gt;=BE1),AND(clCa3From2&lt;=BE1,clCa3To2&gt;=BE1),AND(clCa3From3&lt;=BE1,clCa3To3&gt;=BE1),AND(clCa3From4&lt;=BE1,clCa3To4&gt;=BE1),AND(clCa3From5&lt;=BE1,clCa3To5&gt;=BE1),AND(clCa3From6&lt;=BE1,clCa3To6&gt;=BE1)),"x"&amp;AX1,AX1)))),0)</f>
        <v>0</v>
      </c>
      <c r="CA1" s="218" t="str">
        <f aca="true" t="shared" si="22" ref="CA1:CA60">IF(AY1&lt;&gt;0,IF(OR(clCa3FirstDay=BF1,clCa3LastDay=BF1,clCa3FirstDay2=BF1,clCa3LastDay2=BF1),"&lt;"&amp;AY1&amp;"&gt;",IF(OR(clCa3FirstDay&gt;BF1,clCa3LastDay2&lt;BF1,AND(clCa3LastDay&lt;BF1,clCa3FirstDay2&gt;BF1)),"."&amp;AY1,IF(OR(clCa3Hol1=BF1,clCa3Hol2=BF1,clCa3Hol3=BF1,clCa3Hol4=BF1,clCa3Hol5=BF1,clCa3Hol6=BF1,clCa3Hol7=BF1,clCa3Hol8=BF1,clCa3Hol9=BF1,clCa3Hol10=BF1),"x"&amp;AY1,IF(OR(AND(clCa3From1&lt;=BF1,clCa3To1&gt;=BF1),AND(clCa3From2&lt;=BF1,clCa3To2&gt;=BF1),AND(clCa3From3&lt;=BF1,clCa3To3&gt;=BF1),AND(clCa3From4&lt;=BF1,clCa3To4&gt;=BF1),AND(clCa3From5&lt;=BF1,clCa3To5&gt;=BF1),AND(clCa3From6&lt;=BF1,clCa3To6&gt;=BF1)),"x"&amp;AY1,IF(clCa3NoWEnd="Yes","{"&amp;AY1&amp;"}",AY1))))),0)</f>
        <v>.1</v>
      </c>
    </row>
    <row r="2" spans="1:79" ht="13.5" thickBot="1">
      <c r="A2" s="183" t="s">
        <v>240</v>
      </c>
      <c r="B2" s="184" t="s">
        <v>239</v>
      </c>
      <c r="C2" s="185" t="s">
        <v>240</v>
      </c>
      <c r="F2" s="186">
        <f>IF('Cal Info'!D4="","",DATEVALUE('Cal Info'!B4&amp;" "&amp;'Cal Info'!C4&amp;", "&amp;'Cal Info'!D4))</f>
      </c>
      <c r="G2" s="187">
        <f>IF('Cal Info'!F4="","",DATEVALUE('Cal Info'!E4&amp;" "&amp;'Cal Info'!F4&amp;", "&amp;'Cal Info'!G4))</f>
      </c>
      <c r="H2" s="188">
        <f>IF('Cal Info'!J4="","",DATEVALUE('Cal Info'!I4&amp;" "&amp;'Cal Info'!J4&amp;", "&amp;'Cal Info'!K4))</f>
      </c>
      <c r="J2" s="182">
        <f t="shared" si="0"/>
        <v>2</v>
      </c>
      <c r="K2" s="182">
        <f t="shared" si="1"/>
        <v>3</v>
      </c>
      <c r="L2" s="182">
        <f t="shared" si="2"/>
        <v>4</v>
      </c>
      <c r="M2" s="182">
        <f t="shared" si="3"/>
        <v>5</v>
      </c>
      <c r="N2" s="182">
        <f t="shared" si="4"/>
        <v>6</v>
      </c>
      <c r="O2" s="182">
        <f t="shared" si="5"/>
        <v>7</v>
      </c>
      <c r="P2" s="182">
        <f t="shared" si="6"/>
        <v>8</v>
      </c>
      <c r="Q2" s="182">
        <v>8</v>
      </c>
      <c r="R2" s="182">
        <v>9</v>
      </c>
      <c r="S2" s="182">
        <v>10</v>
      </c>
      <c r="T2" s="182">
        <v>11</v>
      </c>
      <c r="U2" s="182">
        <v>12</v>
      </c>
      <c r="V2" s="189">
        <v>13</v>
      </c>
      <c r="W2" s="182">
        <v>14</v>
      </c>
      <c r="X2" s="182">
        <v>8</v>
      </c>
      <c r="Y2" s="182">
        <v>9</v>
      </c>
      <c r="Z2" s="182">
        <v>10</v>
      </c>
      <c r="AA2" s="182">
        <v>11</v>
      </c>
      <c r="AB2" s="182">
        <v>12</v>
      </c>
      <c r="AC2" s="189">
        <v>13</v>
      </c>
      <c r="AD2" s="182">
        <v>14</v>
      </c>
      <c r="AE2" s="182">
        <v>8</v>
      </c>
      <c r="AF2" s="182">
        <v>9</v>
      </c>
      <c r="AG2" s="182">
        <v>10</v>
      </c>
      <c r="AH2" s="182">
        <v>11</v>
      </c>
      <c r="AI2" s="182">
        <v>12</v>
      </c>
      <c r="AJ2" s="189">
        <v>13</v>
      </c>
      <c r="AK2" s="182">
        <v>14</v>
      </c>
      <c r="AL2" s="182">
        <v>8</v>
      </c>
      <c r="AM2" s="182">
        <v>9</v>
      </c>
      <c r="AN2" s="182">
        <v>10</v>
      </c>
      <c r="AO2" s="182">
        <v>11</v>
      </c>
      <c r="AP2" s="182">
        <v>12</v>
      </c>
      <c r="AQ2" s="189">
        <v>13</v>
      </c>
      <c r="AR2" s="182">
        <v>14</v>
      </c>
      <c r="AS2" s="182">
        <f ca="1">OFFSET(INDIRECT(VLOOKUP(VLOOKUP(clFiscalYear,rgPerpCal,8,TRUE),rgPerpMons,2,TRUE)),1,0)</f>
        <v>2</v>
      </c>
      <c r="AT2" s="182">
        <f ca="1">OFFSET(INDIRECT(VLOOKUP(VLOOKUP(clFiscalYear,rgPerpCal,8,TRUE),rgPerpMons,2,TRUE)),1,1)</f>
        <v>3</v>
      </c>
      <c r="AU2" s="182">
        <f ca="1">OFFSET(INDIRECT(VLOOKUP(VLOOKUP(clFiscalYear,rgPerpCal,8,TRUE),rgPerpMons,2,TRUE)),1,2)</f>
        <v>4</v>
      </c>
      <c r="AV2" s="182">
        <f ca="1">OFFSET(INDIRECT(VLOOKUP(VLOOKUP(clFiscalYear,rgPerpCal,8,TRUE),rgPerpMons,2,TRUE)),1,3)</f>
        <v>5</v>
      </c>
      <c r="AW2" s="182">
        <f ca="1">OFFSET(INDIRECT(VLOOKUP(VLOOKUP(clFiscalYear,rgPerpCal,8,TRUE),rgPerpMons,2,TRUE)),1,4)</f>
        <v>6</v>
      </c>
      <c r="AX2" s="182">
        <f ca="1">OFFSET(INDIRECT(VLOOKUP(VLOOKUP(clFiscalYear,rgPerpCal,8,TRUE),rgPerpMons,2,TRUE)),1,5)</f>
        <v>7</v>
      </c>
      <c r="AY2" s="182">
        <f ca="1">OFFSET(INDIRECT(VLOOKUP(VLOOKUP(clFiscalYear,rgPerpCal,8,TRUE),rgPerpMons,2,TRUE)),1,6)</f>
        <v>8</v>
      </c>
      <c r="AZ2" s="181">
        <f t="shared" si="7"/>
        <v>45109</v>
      </c>
      <c r="BA2" s="181">
        <f t="shared" si="7"/>
        <v>45110</v>
      </c>
      <c r="BB2" s="181">
        <f t="shared" si="7"/>
        <v>45111</v>
      </c>
      <c r="BC2" s="181">
        <f t="shared" si="7"/>
        <v>45112</v>
      </c>
      <c r="BD2" s="181">
        <f t="shared" si="7"/>
        <v>45113</v>
      </c>
      <c r="BE2" s="181">
        <f t="shared" si="7"/>
        <v>45114</v>
      </c>
      <c r="BF2" s="181">
        <f t="shared" si="7"/>
        <v>45115</v>
      </c>
      <c r="BG2" s="182" t="str">
        <f aca="true" t="shared" si="23" ref="BG2:BG60">IF(AS2&lt;&gt;0,IF(OR(clCalFirstDay=AZ2,clCalLastDay=AZ2),"&lt;"&amp;AS2&amp;"&gt;",IF(OR(clCalFirstDay&gt;AZ2,clCalLastDay&lt;AZ2),"."&amp;AS2,IF(OR(clCalHol1=AZ2,clCalHol2=AZ2,clCalHol3=AZ2,clCalHol4=AZ2,clCalHol5=AZ2,clCalHol6=AZ2,clCalHol7=AZ2,clCalHol8=AZ2,clCalHol9=AZ2,clCalHol10=AZ2,clCalHol11=AZ2,clCalHol12=AZ2,clCalHol13=AZ2,clCalHol14=AZ2,clCalHol15=AZ2,clCalHol16=AZ2,clCalHol17=AZ2,clCalHol18=AZ2),"x"&amp;AS2,IF(OR(AND(clCalFrom1&lt;=AZ2,clCalTo1&gt;=AZ2),AND(clCalFrom2&lt;=AZ2,clCalTo2&gt;=AZ2),AND(clCalFrom3&lt;=AZ2,clCalTo3&gt;=AZ2),AND(clCalFrom4&lt;=AZ2,clCalTo4&gt;=AZ2),AND(clCalFrom5&lt;=AZ2,clCalTo5&gt;=AZ2),AND(clCalFrom6&lt;=AZ2,clCalTo6&gt;=AZ2),AND(clCalFrom7&lt;=AZ2,clCalTo7&gt;=AZ2),AND(clCalFrom8&lt;=AZ2,clCalTo8&gt;=AZ2)),"x"&amp;AS2,IF(clCalNoWEnd="Yes","{"&amp;AS2&amp;"}",AS2))))),0)</f>
        <v>.2</v>
      </c>
      <c r="BH2" s="182" t="str">
        <f aca="true" t="shared" si="24" ref="BH2:BH60">IF(AT2&lt;&gt;0,IF(OR(clCalFirstDay=BA2,clCalLastDay=BA2),"&lt;"&amp;AT2&amp;"&gt;",IF(OR(clCalFirstDay&gt;BA2,clCalLastDay&lt;BA2),"."&amp;AT2,IF(OR(clCalHol1=BA2,clCalHol2=BA2,clCalHol3=BA2,clCalHol4=BA2,clCalHol5=BA2,clCalHol6=BA2,clCalHol7=BA2,clCalHol8=BA2,clCalHol9=BA2,clCalHol10=BA2,clCalHol11=BA2,clCalHol12=BA2,clCalHol13=BA2,clCalHol14=BA2,clCalHol15=BA2,clCalHol16=BA2,clCalHol17=BA2,clCalHol18=BA2),"x"&amp;AT2,IF(OR(AND(clCalFrom1&lt;=BA2,clCalTo1&gt;=BA2),AND(clCalFrom2&lt;=BA2,clCalTo2&gt;=BA2),AND(clCalFrom3&lt;=BA2,clCalTo3&gt;=BA2),AND(clCalFrom4&lt;=BA2,clCalTo4&gt;=BA2),AND(clCalFrom5&lt;=BA2,clCalTo5&gt;=BA2),AND(clCalFrom6&lt;=BA2,clCalTo6&gt;=BA2),AND(clCalFrom7&lt;=BA2,clCalTo7&gt;=BA2),AND(clCalFrom8&lt;=BA2,clCalTo8&gt;=BA2)),"x"&amp;AT2,AT2)))),0)</f>
        <v>.3</v>
      </c>
      <c r="BI2" s="182" t="str">
        <f t="shared" si="8"/>
        <v>.4</v>
      </c>
      <c r="BJ2" s="182" t="str">
        <f t="shared" si="9"/>
        <v>.5</v>
      </c>
      <c r="BK2" s="182" t="str">
        <f t="shared" si="10"/>
        <v>.6</v>
      </c>
      <c r="BL2" s="182" t="str">
        <f t="shared" si="11"/>
        <v>.7</v>
      </c>
      <c r="BM2" s="182" t="str">
        <f t="shared" si="12"/>
        <v>.8</v>
      </c>
      <c r="BN2" s="218" t="str">
        <f aca="true" t="shared" si="25" ref="BN2:BN60">IF(AS2&lt;&gt;0,IF(OR(clCa2FirstDay=AZ2,clCa2LastDay=AZ2),"&lt;"&amp;AS2&amp;"&gt;",IF(OR(clCa2FirstDay&gt;AZ2,clCa2LastDay&lt;AZ2),"."&amp;AS2,IF(OR(clCa2Hol1=AZ2,clCa2Hol2=AZ2,clCa2Hol3=AZ2,clCa2Hol4=AZ2,clCa2Hol5=AZ2,clCa2Hol6=AZ2,clCa2Hol7=AZ2,clCa2Hol8=AZ2,clCa2Hol9=AZ2,clCa2Hol10=AZ2,clCa2Hol11=AZ2,clCa2Hol12=AZ2,clCa2Hol13=AZ2,clCa2Hol14=AZ2,clCa2Hol15=AZ2,clCa2Hol16=AZ2,clCa2Hol17=AZ2,clCa2Hol18=AZ2),"x"&amp;AS2,IF(OR(AND(clCa2From1&lt;=AZ2,clCa2To1&gt;=AZ2),AND(clCa2From2&lt;=AZ2,clCa2To2&gt;=AZ2),AND(clCa2From3&lt;=AZ2,clCa2To3&gt;=AZ2),AND(clCa2From4&lt;=AZ2,clCa2To4&gt;=AZ2),AND(clCa2From5&lt;=AZ2,clCa2To5&gt;=AZ2),AND(clCa2From6&lt;=AZ2,clCa2To6&gt;=AZ2),AND(clCa2From7&lt;=AZ2,clCa2To7&gt;=AZ2),AND(clCa2From8&lt;=AZ2,clCa2To8&gt;=AZ2)),"x"&amp;AS2,IF(clCa2NoWEnd="Yes","{"&amp;AS2&amp;"}",AS2))))),0)</f>
        <v>.2</v>
      </c>
      <c r="BO2" s="218" t="str">
        <f aca="true" t="shared" si="26" ref="BO2:BO60">IF(AT2&lt;&gt;0,IF(OR(clCa2FirstDay=BA2,clCa2LastDay=BA2),"&lt;"&amp;AT2&amp;"&gt;",IF(OR(clCa2FirstDay&gt;BA2,clCa2LastDay&lt;BA2),"."&amp;AT2,IF(OR(clCa2Hol1=BA2,clCa2Hol2=BA2,clCa2Hol3=BA2,clCa2Hol4=BA2,clCa2Hol5=BA2,clCa2Hol6=BA2,clCa2Hol7=BA2,clCa2Hol8=BA2,clCa2Hol9=BA2,clCa2Hol10=BA2,clCa2Hol11=BA2,clCa2Hol12=BA2,clCa2Hol13=BA2,clCa2Hol14=BA2,clCa2Hol15=BA2,clCa2Hol16=BA2,clCa2Hol17=BA2,clCa2Hol18=BA2),"x"&amp;AT2,IF(OR(AND(clCa2From1&lt;=BA2,clCa2To1&gt;=BA2),AND(clCa2From2&lt;=BA2,clCa2To2&gt;=BA2),AND(clCa2From3&lt;=BA2,clCa2To3&gt;=BA2),AND(clCa2From4&lt;=BA2,clCa2To4&gt;=BA2),AND(clCa2From5&lt;=BA2,clCa2To5&gt;=BA2),AND(clCa2From6&lt;=BA2,clCa2To6&gt;=BA2),AND(clCa2From7&lt;=BA2,clCa2To7&gt;=BA2),AND(clCa2From8&lt;=BA2,clCa2To8&gt;=BA2)),"x"&amp;AT2,AT2)))),0)</f>
        <v>.3</v>
      </c>
      <c r="BP2" s="218" t="str">
        <f t="shared" si="13"/>
        <v>.4</v>
      </c>
      <c r="BQ2" s="218" t="str">
        <f t="shared" si="14"/>
        <v>.5</v>
      </c>
      <c r="BR2" s="218" t="str">
        <f t="shared" si="15"/>
        <v>.6</v>
      </c>
      <c r="BS2" s="218" t="str">
        <f t="shared" si="16"/>
        <v>.7</v>
      </c>
      <c r="BT2" s="218" t="str">
        <f t="shared" si="17"/>
        <v>.8</v>
      </c>
      <c r="BU2" s="218" t="str">
        <f aca="true" t="shared" si="27" ref="BU2:BU60">IF(AS2&lt;&gt;0,IF(OR(clCa3FirstDay=AZ2,clCa3LastDay=AZ2,clCa3FirstDay2=AZ2,clCa3LastDay2=AZ2),"&lt;"&amp;AS2&amp;"&gt;",IF(OR(clCa3FirstDay&gt;AZ2,clCa3LastDay2&lt;AZ2,AND(clCa3LastDay&lt;AZ2,clCa3FirstDay2&gt;AZ2)),"."&amp;AS2,IF(OR(clCa3Hol1=AZ2,clCa3Hol2=AZ2,clCa3Hol3=AZ2,clCa3Hol4=AZ2,clCa3Hol5=AZ2,clCa3Hol6=AZ2,clCa3Hol7=AZ2,clCa3Hol8=AZ2,clCa3Hol9=AZ2,clCa3Hol10=AZ2),"x"&amp;AS2,IF(OR(AND(clCa3From1&lt;=AZ2,clCa3To1&gt;=AZ2),AND(clCa3From2&lt;=AZ2,clCa3To2&gt;=AZ2),AND(clCa3From3&lt;=AZ2,clCa3To3&gt;=AZ2),AND(clCa3From4&lt;=AZ2,clCa3To4&gt;=AZ2),AND(clCa3From5&lt;=AZ2,clCa3To5&gt;=AZ2),AND(clCa3From6&lt;=AZ2,clCa3To6&gt;=AZ2)),"x"&amp;AS2,IF(clCa3NoWEnd="Yes","{"&amp;AS2&amp;"}",AS2))))),0)</f>
        <v>.2</v>
      </c>
      <c r="BV2" s="218" t="str">
        <f aca="true" t="shared" si="28" ref="BV2:BV60">IF(AT2&lt;&gt;0,IF(OR(clCa3FirstDay=BA2,clCa3LastDay=BA2,clCa3FirstDay2=BA2,clCa3LastDay2=BA2),"&lt;"&amp;AT2&amp;"&gt;",IF(OR(clCa3FirstDay&gt;BA2,clCa3LastDay2&lt;BA2,AND(clCa3LastDay&lt;BA2,clCa3FirstDay2&gt;BA2)),"."&amp;AT2,IF(OR(clCa3Hol1=BA2,clCa3Hol2=BA2,clCa3Hol3=BA2,clCa3Hol4=BA2,clCa3Hol5=BA2,clCa3Hol6=BA2,clCa3Hol7=BA2,clCa3Hol8=BA2,clCa3Hol9=BA2,clCa3Hol10=BA2),"x"&amp;AT2,IF(OR(AND(clCa3From1&lt;=BA2,clCa3To1&gt;=BA2),AND(clCa3From2&lt;=BA2,clCa3To2&gt;=BA2),AND(clCa3From3&lt;=BA2,clCa3To3&gt;=BA2),AND(clCa3From4&lt;=BA2,clCa3To4&gt;=BA2),AND(clCa3From5&lt;=BA2,clCa3To5&gt;=BA2),AND(clCa3From6&lt;=BA2,clCa3To6&gt;=BA2)),"x"&amp;AT2,AT2)))),0)</f>
        <v>.3</v>
      </c>
      <c r="BW2" s="218" t="str">
        <f t="shared" si="18"/>
        <v>.4</v>
      </c>
      <c r="BX2" s="218" t="str">
        <f t="shared" si="19"/>
        <v>.5</v>
      </c>
      <c r="BY2" s="218" t="str">
        <f t="shared" si="20"/>
        <v>.6</v>
      </c>
      <c r="BZ2" s="218" t="str">
        <f t="shared" si="21"/>
        <v>.7</v>
      </c>
      <c r="CA2" s="218" t="str">
        <f t="shared" si="22"/>
        <v>.8</v>
      </c>
    </row>
    <row r="3" spans="6:79" ht="13.5" thickTop="1">
      <c r="F3" s="191">
        <f>IF('Cal Info'!D5="","",DATEVALUE('Cal Info'!B5&amp;" "&amp;'Cal Info'!C5&amp;", "&amp;'Cal Info'!D5))</f>
      </c>
      <c r="G3" s="192">
        <f>IF('Cal Info'!F5="","",DATEVALUE('Cal Info'!E5&amp;" "&amp;'Cal Info'!F5&amp;", "&amp;'Cal Info'!G5))</f>
      </c>
      <c r="H3" s="193">
        <f>IF('Cal Info'!J5="","",DATEVALUE('Cal Info'!I5&amp;" "&amp;'Cal Info'!J5&amp;", "&amp;'Cal Info'!K5))</f>
      </c>
      <c r="J3" s="182">
        <f t="shared" si="0"/>
        <v>9</v>
      </c>
      <c r="K3" s="182">
        <f t="shared" si="1"/>
        <v>10</v>
      </c>
      <c r="L3" s="182">
        <f t="shared" si="2"/>
        <v>11</v>
      </c>
      <c r="M3" s="182">
        <f t="shared" si="3"/>
        <v>12</v>
      </c>
      <c r="N3" s="182">
        <f t="shared" si="4"/>
        <v>13</v>
      </c>
      <c r="O3" s="182">
        <f t="shared" si="5"/>
        <v>14</v>
      </c>
      <c r="P3" s="182">
        <f t="shared" si="6"/>
        <v>15</v>
      </c>
      <c r="Q3" s="182">
        <v>15</v>
      </c>
      <c r="R3" s="194">
        <v>16</v>
      </c>
      <c r="S3" s="182">
        <v>17</v>
      </c>
      <c r="T3" s="182">
        <v>18</v>
      </c>
      <c r="U3" s="182">
        <v>19</v>
      </c>
      <c r="V3" s="182">
        <v>20</v>
      </c>
      <c r="W3" s="182">
        <v>21</v>
      </c>
      <c r="X3" s="182">
        <v>15</v>
      </c>
      <c r="Y3" s="194">
        <v>16</v>
      </c>
      <c r="Z3" s="182">
        <v>17</v>
      </c>
      <c r="AA3" s="182">
        <v>18</v>
      </c>
      <c r="AB3" s="182">
        <v>19</v>
      </c>
      <c r="AC3" s="182">
        <v>20</v>
      </c>
      <c r="AD3" s="182">
        <v>21</v>
      </c>
      <c r="AE3" s="182">
        <v>15</v>
      </c>
      <c r="AF3" s="194">
        <v>16</v>
      </c>
      <c r="AG3" s="182">
        <v>17</v>
      </c>
      <c r="AH3" s="182">
        <v>18</v>
      </c>
      <c r="AI3" s="182">
        <v>19</v>
      </c>
      <c r="AJ3" s="182">
        <v>20</v>
      </c>
      <c r="AK3" s="182">
        <v>21</v>
      </c>
      <c r="AL3" s="182">
        <v>15</v>
      </c>
      <c r="AM3" s="194">
        <v>16</v>
      </c>
      <c r="AN3" s="182">
        <v>17</v>
      </c>
      <c r="AO3" s="182">
        <v>18</v>
      </c>
      <c r="AP3" s="182">
        <v>19</v>
      </c>
      <c r="AQ3" s="182">
        <v>20</v>
      </c>
      <c r="AR3" s="182">
        <v>21</v>
      </c>
      <c r="AS3" s="182">
        <f ca="1">OFFSET(INDIRECT(VLOOKUP(VLOOKUP(clFiscalYear,rgPerpCal,8,TRUE),rgPerpMons,2,TRUE)),2,0)</f>
        <v>9</v>
      </c>
      <c r="AT3" s="182">
        <f ca="1">OFFSET(INDIRECT(VLOOKUP(VLOOKUP(clFiscalYear,rgPerpCal,8,TRUE),rgPerpMons,2,TRUE)),2,1)</f>
        <v>10</v>
      </c>
      <c r="AU3" s="182">
        <f ca="1">OFFSET(INDIRECT(VLOOKUP(VLOOKUP(clFiscalYear,rgPerpCal,8,TRUE),rgPerpMons,2,TRUE)),2,2)</f>
        <v>11</v>
      </c>
      <c r="AV3" s="182">
        <f ca="1">OFFSET(INDIRECT(VLOOKUP(VLOOKUP(clFiscalYear,rgPerpCal,8,TRUE),rgPerpMons,2,TRUE)),2,3)</f>
        <v>12</v>
      </c>
      <c r="AW3" s="182">
        <f ca="1">OFFSET(INDIRECT(VLOOKUP(VLOOKUP(clFiscalYear,rgPerpCal,8,TRUE),rgPerpMons,2,TRUE)),2,4)</f>
        <v>13</v>
      </c>
      <c r="AX3" s="182">
        <f ca="1">OFFSET(INDIRECT(VLOOKUP(VLOOKUP(clFiscalYear,rgPerpCal,8,TRUE),rgPerpMons,2,TRUE)),2,5)</f>
        <v>14</v>
      </c>
      <c r="AY3" s="182">
        <f ca="1">OFFSET(INDIRECT(VLOOKUP(VLOOKUP(clFiscalYear,rgPerpCal,8,TRUE),rgPerpMons,2,TRUE)),2,6)</f>
        <v>15</v>
      </c>
      <c r="AZ3" s="181">
        <f t="shared" si="7"/>
        <v>45116</v>
      </c>
      <c r="BA3" s="181">
        <f t="shared" si="7"/>
        <v>45117</v>
      </c>
      <c r="BB3" s="181">
        <f t="shared" si="7"/>
        <v>45118</v>
      </c>
      <c r="BC3" s="181">
        <f t="shared" si="7"/>
        <v>45119</v>
      </c>
      <c r="BD3" s="181">
        <f t="shared" si="7"/>
        <v>45120</v>
      </c>
      <c r="BE3" s="181">
        <f t="shared" si="7"/>
        <v>45121</v>
      </c>
      <c r="BF3" s="181">
        <f t="shared" si="7"/>
        <v>45122</v>
      </c>
      <c r="BG3" s="182" t="str">
        <f t="shared" si="23"/>
        <v>.9</v>
      </c>
      <c r="BH3" s="182" t="str">
        <f t="shared" si="24"/>
        <v>.10</v>
      </c>
      <c r="BI3" s="182" t="str">
        <f t="shared" si="8"/>
        <v>.11</v>
      </c>
      <c r="BJ3" s="182" t="str">
        <f t="shared" si="9"/>
        <v>.12</v>
      </c>
      <c r="BK3" s="182" t="str">
        <f t="shared" si="10"/>
        <v>.13</v>
      </c>
      <c r="BL3" s="182" t="str">
        <f t="shared" si="11"/>
        <v>.14</v>
      </c>
      <c r="BM3" s="182" t="str">
        <f t="shared" si="12"/>
        <v>.15</v>
      </c>
      <c r="BN3" s="218" t="str">
        <f t="shared" si="25"/>
        <v>.9</v>
      </c>
      <c r="BO3" s="218" t="str">
        <f t="shared" si="26"/>
        <v>.10</v>
      </c>
      <c r="BP3" s="218" t="str">
        <f t="shared" si="13"/>
        <v>.11</v>
      </c>
      <c r="BQ3" s="218" t="str">
        <f t="shared" si="14"/>
        <v>.12</v>
      </c>
      <c r="BR3" s="218" t="str">
        <f t="shared" si="15"/>
        <v>.13</v>
      </c>
      <c r="BS3" s="218" t="str">
        <f t="shared" si="16"/>
        <v>.14</v>
      </c>
      <c r="BT3" s="218" t="str">
        <f t="shared" si="17"/>
        <v>.15</v>
      </c>
      <c r="BU3" s="218" t="str">
        <f t="shared" si="27"/>
        <v>.9</v>
      </c>
      <c r="BV3" s="218" t="str">
        <f t="shared" si="28"/>
        <v>.10</v>
      </c>
      <c r="BW3" s="218" t="str">
        <f t="shared" si="18"/>
        <v>.11</v>
      </c>
      <c r="BX3" s="218" t="str">
        <f t="shared" si="19"/>
        <v>.12</v>
      </c>
      <c r="BY3" s="218" t="str">
        <f t="shared" si="20"/>
        <v>.13</v>
      </c>
      <c r="BZ3" s="218" t="str">
        <f t="shared" si="21"/>
        <v>.14</v>
      </c>
      <c r="CA3" s="218" t="str">
        <f t="shared" si="22"/>
        <v>.15</v>
      </c>
    </row>
    <row r="4" spans="6:79" ht="12.75">
      <c r="F4" s="195"/>
      <c r="G4" s="196"/>
      <c r="H4" s="193">
        <f>IF('Cal Info'!J6="","",DATEVALUE('Cal Info'!I6&amp;" "&amp;'Cal Info'!J6&amp;", "&amp;'Cal Info'!K6))</f>
      </c>
      <c r="J4" s="182">
        <f t="shared" si="0"/>
        <v>16</v>
      </c>
      <c r="K4" s="182">
        <f t="shared" si="1"/>
        <v>17</v>
      </c>
      <c r="L4" s="182">
        <f t="shared" si="2"/>
        <v>18</v>
      </c>
      <c r="M4" s="182">
        <f t="shared" si="3"/>
        <v>19</v>
      </c>
      <c r="N4" s="182">
        <f t="shared" si="4"/>
        <v>20</v>
      </c>
      <c r="O4" s="182">
        <f t="shared" si="5"/>
        <v>21</v>
      </c>
      <c r="P4" s="182">
        <f t="shared" si="6"/>
        <v>22</v>
      </c>
      <c r="Q4" s="182">
        <v>22</v>
      </c>
      <c r="R4" s="182">
        <v>23</v>
      </c>
      <c r="S4" s="182">
        <v>24</v>
      </c>
      <c r="T4" s="194">
        <v>25</v>
      </c>
      <c r="U4" s="182">
        <v>26</v>
      </c>
      <c r="V4" s="182">
        <v>27</v>
      </c>
      <c r="W4" s="182">
        <v>28</v>
      </c>
      <c r="X4" s="182">
        <v>22</v>
      </c>
      <c r="Y4" s="182">
        <v>23</v>
      </c>
      <c r="Z4" s="182">
        <v>24</v>
      </c>
      <c r="AA4" s="194">
        <v>25</v>
      </c>
      <c r="AB4" s="182">
        <v>26</v>
      </c>
      <c r="AC4" s="182">
        <v>27</v>
      </c>
      <c r="AD4" s="182">
        <v>28</v>
      </c>
      <c r="AE4" s="182">
        <v>22</v>
      </c>
      <c r="AF4" s="182">
        <v>23</v>
      </c>
      <c r="AG4" s="182">
        <v>24</v>
      </c>
      <c r="AH4" s="194">
        <v>25</v>
      </c>
      <c r="AI4" s="182">
        <v>26</v>
      </c>
      <c r="AJ4" s="182">
        <v>27</v>
      </c>
      <c r="AK4" s="182">
        <v>28</v>
      </c>
      <c r="AL4" s="182">
        <v>22</v>
      </c>
      <c r="AM4" s="182">
        <v>23</v>
      </c>
      <c r="AN4" s="182">
        <v>24</v>
      </c>
      <c r="AO4" s="194">
        <v>25</v>
      </c>
      <c r="AP4" s="182">
        <v>26</v>
      </c>
      <c r="AQ4" s="182">
        <v>27</v>
      </c>
      <c r="AR4" s="182">
        <v>28</v>
      </c>
      <c r="AS4" s="182">
        <f ca="1">OFFSET(INDIRECT(VLOOKUP(VLOOKUP(clFiscalYear,rgPerpCal,8,TRUE),rgPerpMons,2,TRUE)),3,0)</f>
        <v>16</v>
      </c>
      <c r="AT4" s="182">
        <f ca="1">OFFSET(INDIRECT(VLOOKUP(VLOOKUP(clFiscalYear,rgPerpCal,8,TRUE),rgPerpMons,2,TRUE)),3,1)</f>
        <v>17</v>
      </c>
      <c r="AU4" s="182">
        <f ca="1">OFFSET(INDIRECT(VLOOKUP(VLOOKUP(clFiscalYear,rgPerpCal,8,TRUE),rgPerpMons,2,TRUE)),3,2)</f>
        <v>18</v>
      </c>
      <c r="AV4" s="182">
        <f ca="1">OFFSET(INDIRECT(VLOOKUP(VLOOKUP(clFiscalYear,rgPerpCal,8,TRUE),rgPerpMons,2,TRUE)),3,3)</f>
        <v>19</v>
      </c>
      <c r="AW4" s="182">
        <f ca="1">OFFSET(INDIRECT(VLOOKUP(VLOOKUP(clFiscalYear,rgPerpCal,8,TRUE),rgPerpMons,2,TRUE)),3,4)</f>
        <v>20</v>
      </c>
      <c r="AX4" s="182">
        <f ca="1">OFFSET(INDIRECT(VLOOKUP(VLOOKUP(clFiscalYear,rgPerpCal,8,TRUE),rgPerpMons,2,TRUE)),3,5)</f>
        <v>21</v>
      </c>
      <c r="AY4" s="182">
        <f ca="1">OFFSET(INDIRECT(VLOOKUP(VLOOKUP(clFiscalYear,rgPerpCal,8,TRUE),rgPerpMons,2,TRUE)),3,6)</f>
        <v>22</v>
      </c>
      <c r="AZ4" s="181">
        <f t="shared" si="7"/>
        <v>45123</v>
      </c>
      <c r="BA4" s="181">
        <f t="shared" si="7"/>
        <v>45124</v>
      </c>
      <c r="BB4" s="181">
        <f t="shared" si="7"/>
        <v>45125</v>
      </c>
      <c r="BC4" s="181">
        <f t="shared" si="7"/>
        <v>45126</v>
      </c>
      <c r="BD4" s="181">
        <f t="shared" si="7"/>
        <v>45127</v>
      </c>
      <c r="BE4" s="181">
        <f t="shared" si="7"/>
        <v>45128</v>
      </c>
      <c r="BF4" s="181">
        <f t="shared" si="7"/>
        <v>45129</v>
      </c>
      <c r="BG4" s="182" t="str">
        <f t="shared" si="23"/>
        <v>.16</v>
      </c>
      <c r="BH4" s="182" t="str">
        <f t="shared" si="24"/>
        <v>.17</v>
      </c>
      <c r="BI4" s="182" t="str">
        <f t="shared" si="8"/>
        <v>.18</v>
      </c>
      <c r="BJ4" s="182" t="str">
        <f t="shared" si="9"/>
        <v>.19</v>
      </c>
      <c r="BK4" s="182" t="str">
        <f t="shared" si="10"/>
        <v>.20</v>
      </c>
      <c r="BL4" s="182" t="str">
        <f t="shared" si="11"/>
        <v>.21</v>
      </c>
      <c r="BM4" s="182" t="str">
        <f t="shared" si="12"/>
        <v>.22</v>
      </c>
      <c r="BN4" s="218" t="str">
        <f t="shared" si="25"/>
        <v>.16</v>
      </c>
      <c r="BO4" s="218" t="str">
        <f t="shared" si="26"/>
        <v>.17</v>
      </c>
      <c r="BP4" s="218" t="str">
        <f t="shared" si="13"/>
        <v>.18</v>
      </c>
      <c r="BQ4" s="218" t="str">
        <f t="shared" si="14"/>
        <v>.19</v>
      </c>
      <c r="BR4" s="218" t="str">
        <f t="shared" si="15"/>
        <v>.20</v>
      </c>
      <c r="BS4" s="218" t="str">
        <f t="shared" si="16"/>
        <v>.21</v>
      </c>
      <c r="BT4" s="218" t="str">
        <f t="shared" si="17"/>
        <v>.22</v>
      </c>
      <c r="BU4" s="218" t="str">
        <f t="shared" si="27"/>
        <v>.16</v>
      </c>
      <c r="BV4" s="218" t="str">
        <f t="shared" si="28"/>
        <v>.17</v>
      </c>
      <c r="BW4" s="218" t="str">
        <f t="shared" si="18"/>
        <v>.18</v>
      </c>
      <c r="BX4" s="218" t="str">
        <f t="shared" si="19"/>
        <v>.19</v>
      </c>
      <c r="BY4" s="218" t="str">
        <f t="shared" si="20"/>
        <v>.20</v>
      </c>
      <c r="BZ4" s="218" t="str">
        <f t="shared" si="21"/>
        <v>.21</v>
      </c>
      <c r="CA4" s="218" t="str">
        <f t="shared" si="22"/>
        <v>.22</v>
      </c>
    </row>
    <row r="5" spans="2:79" ht="12.75">
      <c r="B5" s="190" t="s">
        <v>256</v>
      </c>
      <c r="C5" s="323" t="s">
        <v>538</v>
      </c>
      <c r="F5" s="191">
        <f>IF('Cal Info'!D8="","",DATEVALUE('Cal Info'!B8&amp;" "&amp;'Cal Info'!C8&amp;", "&amp;'Cal Info'!D8))</f>
      </c>
      <c r="G5" s="192">
        <f>IF('Cal Info'!F8="","",DATEVALUE('Cal Info'!E8&amp;" "&amp;'Cal Info'!F8&amp;", "&amp;'Cal Info'!G8))</f>
      </c>
      <c r="H5" s="193">
        <f>IF('Cal Info'!J7="","",DATEVALUE('Cal Info'!I7&amp;" "&amp;'Cal Info'!J7&amp;", "&amp;'Cal Info'!K8))</f>
      </c>
      <c r="J5" s="182">
        <f t="shared" si="0"/>
        <v>23</v>
      </c>
      <c r="K5" s="182">
        <f t="shared" si="1"/>
        <v>24</v>
      </c>
      <c r="L5" s="182">
        <f t="shared" si="2"/>
        <v>25</v>
      </c>
      <c r="M5" s="182">
        <f t="shared" si="3"/>
        <v>26</v>
      </c>
      <c r="N5" s="182">
        <f t="shared" si="4"/>
        <v>27</v>
      </c>
      <c r="O5" s="182">
        <f t="shared" si="5"/>
        <v>28</v>
      </c>
      <c r="P5" s="182">
        <f t="shared" si="6"/>
        <v>29</v>
      </c>
      <c r="Q5" s="182">
        <v>29</v>
      </c>
      <c r="R5" s="197">
        <v>30</v>
      </c>
      <c r="S5" s="182">
        <v>31</v>
      </c>
      <c r="T5" s="198"/>
      <c r="U5" s="182"/>
      <c r="V5" s="182"/>
      <c r="W5" s="182"/>
      <c r="X5" s="182">
        <v>29</v>
      </c>
      <c r="Y5" s="197">
        <v>30</v>
      </c>
      <c r="Z5" s="182"/>
      <c r="AA5" s="182"/>
      <c r="AB5" s="182"/>
      <c r="AC5" s="182"/>
      <c r="AD5" s="182"/>
      <c r="AE5" s="182"/>
      <c r="AF5" s="197"/>
      <c r="AG5" s="182"/>
      <c r="AH5" s="182"/>
      <c r="AI5" s="182"/>
      <c r="AJ5" s="182"/>
      <c r="AK5" s="182"/>
      <c r="AL5" s="182">
        <v>29</v>
      </c>
      <c r="AM5" s="197"/>
      <c r="AN5" s="182"/>
      <c r="AO5" s="182"/>
      <c r="AP5" s="182"/>
      <c r="AQ5" s="182"/>
      <c r="AR5" s="182"/>
      <c r="AS5" s="182">
        <f ca="1">OFFSET(INDIRECT(VLOOKUP(VLOOKUP(clFiscalYear,rgPerpCal,8,TRUE),rgPerpMons,2,TRUE)),4,0)</f>
        <v>23</v>
      </c>
      <c r="AT5" s="182">
        <f ca="1">OFFSET(INDIRECT(VLOOKUP(VLOOKUP(clFiscalYear,rgPerpCal,8,TRUE),rgPerpMons,2,TRUE)),4,1)</f>
        <v>24</v>
      </c>
      <c r="AU5" s="182">
        <f ca="1">OFFSET(INDIRECT(VLOOKUP(VLOOKUP(clFiscalYear,rgPerpCal,8,TRUE),rgPerpMons,2,TRUE)),4,2)</f>
        <v>25</v>
      </c>
      <c r="AV5" s="182">
        <f ca="1">OFFSET(INDIRECT(VLOOKUP(VLOOKUP(clFiscalYear,rgPerpCal,8,TRUE),rgPerpMons,2,TRUE)),4,3)</f>
        <v>26</v>
      </c>
      <c r="AW5" s="182">
        <f ca="1">OFFSET(INDIRECT(VLOOKUP(VLOOKUP(clFiscalYear,rgPerpCal,8,TRUE),rgPerpMons,2,TRUE)),4,4)</f>
        <v>27</v>
      </c>
      <c r="AX5" s="182">
        <f ca="1">OFFSET(INDIRECT(VLOOKUP(VLOOKUP(clFiscalYear,rgPerpCal,8,TRUE),rgPerpMons,2,TRUE)),4,5)</f>
        <v>28</v>
      </c>
      <c r="AY5" s="182">
        <f ca="1">OFFSET(INDIRECT(VLOOKUP(VLOOKUP(clFiscalYear,rgPerpCal,8,TRUE),rgPerpMons,2,TRUE)),4,6)</f>
        <v>29</v>
      </c>
      <c r="AZ5" s="181">
        <f t="shared" si="7"/>
        <v>45130</v>
      </c>
      <c r="BA5" s="181">
        <f t="shared" si="7"/>
        <v>45131</v>
      </c>
      <c r="BB5" s="181">
        <f t="shared" si="7"/>
        <v>45132</v>
      </c>
      <c r="BC5" s="181">
        <f t="shared" si="7"/>
        <v>45133</v>
      </c>
      <c r="BD5" s="181">
        <f t="shared" si="7"/>
        <v>45134</v>
      </c>
      <c r="BE5" s="181">
        <f t="shared" si="7"/>
        <v>45135</v>
      </c>
      <c r="BF5" s="181">
        <f t="shared" si="7"/>
        <v>45136</v>
      </c>
      <c r="BG5" s="182" t="str">
        <f t="shared" si="23"/>
        <v>.23</v>
      </c>
      <c r="BH5" s="182" t="str">
        <f t="shared" si="24"/>
        <v>.24</v>
      </c>
      <c r="BI5" s="182" t="str">
        <f t="shared" si="8"/>
        <v>.25</v>
      </c>
      <c r="BJ5" s="182" t="str">
        <f t="shared" si="9"/>
        <v>.26</v>
      </c>
      <c r="BK5" s="182" t="str">
        <f t="shared" si="10"/>
        <v>.27</v>
      </c>
      <c r="BL5" s="182" t="str">
        <f t="shared" si="11"/>
        <v>.28</v>
      </c>
      <c r="BM5" s="182" t="str">
        <f t="shared" si="12"/>
        <v>.29</v>
      </c>
      <c r="BN5" s="218" t="str">
        <f t="shared" si="25"/>
        <v>.23</v>
      </c>
      <c r="BO5" s="218" t="str">
        <f t="shared" si="26"/>
        <v>.24</v>
      </c>
      <c r="BP5" s="218" t="str">
        <f t="shared" si="13"/>
        <v>.25</v>
      </c>
      <c r="BQ5" s="218" t="str">
        <f t="shared" si="14"/>
        <v>.26</v>
      </c>
      <c r="BR5" s="218" t="str">
        <f t="shared" si="15"/>
        <v>.27</v>
      </c>
      <c r="BS5" s="218" t="str">
        <f t="shared" si="16"/>
        <v>.28</v>
      </c>
      <c r="BT5" s="218" t="str">
        <f t="shared" si="17"/>
        <v>.29</v>
      </c>
      <c r="BU5" s="218" t="str">
        <f t="shared" si="27"/>
        <v>.23</v>
      </c>
      <c r="BV5" s="218" t="str">
        <f t="shared" si="28"/>
        <v>.24</v>
      </c>
      <c r="BW5" s="218" t="str">
        <f t="shared" si="18"/>
        <v>.25</v>
      </c>
      <c r="BX5" s="218" t="str">
        <f t="shared" si="19"/>
        <v>.26</v>
      </c>
      <c r="BY5" s="218" t="str">
        <f t="shared" si="20"/>
        <v>.27</v>
      </c>
      <c r="BZ5" s="218" t="str">
        <f t="shared" si="21"/>
        <v>.28</v>
      </c>
      <c r="CA5" s="218" t="str">
        <f t="shared" si="22"/>
        <v>.29</v>
      </c>
    </row>
    <row r="6" spans="2:79" ht="12.75">
      <c r="B6" s="190" t="s">
        <v>257</v>
      </c>
      <c r="C6" s="224">
        <v>42012</v>
      </c>
      <c r="F6" s="191">
        <f>IF('Cal Info'!D9="","",DATEVALUE('Cal Info'!B9&amp;" "&amp;'Cal Info'!C9&amp;", "&amp;'Cal Info'!D9))</f>
      </c>
      <c r="G6" s="192">
        <f>IF('Cal Info'!F9="","",DATEVALUE('Cal Info'!E9&amp;" "&amp;'Cal Info'!F9&amp;", "&amp;'Cal Info'!G9))</f>
      </c>
      <c r="H6" s="193"/>
      <c r="J6" s="182">
        <f t="shared" si="0"/>
        <v>0</v>
      </c>
      <c r="K6" s="182">
        <f t="shared" si="1"/>
        <v>0</v>
      </c>
      <c r="L6" s="182">
        <f t="shared" si="2"/>
        <v>1</v>
      </c>
      <c r="M6" s="182">
        <f t="shared" si="3"/>
        <v>2</v>
      </c>
      <c r="N6" s="182">
        <f t="shared" si="4"/>
        <v>3</v>
      </c>
      <c r="O6" s="182">
        <f t="shared" si="5"/>
        <v>4</v>
      </c>
      <c r="P6" s="182">
        <f t="shared" si="6"/>
        <v>5</v>
      </c>
      <c r="Q6" s="182"/>
      <c r="R6" s="182">
        <v>1</v>
      </c>
      <c r="S6" s="182">
        <v>2</v>
      </c>
      <c r="T6" s="182">
        <v>3</v>
      </c>
      <c r="U6" s="182">
        <v>4</v>
      </c>
      <c r="V6" s="182">
        <v>5</v>
      </c>
      <c r="W6" s="182">
        <v>6</v>
      </c>
      <c r="X6" s="182"/>
      <c r="Y6" s="182">
        <v>1</v>
      </c>
      <c r="Z6" s="182">
        <v>2</v>
      </c>
      <c r="AA6" s="182">
        <v>3</v>
      </c>
      <c r="AB6" s="182">
        <v>4</v>
      </c>
      <c r="AC6" s="182">
        <v>5</v>
      </c>
      <c r="AD6" s="182">
        <v>6</v>
      </c>
      <c r="AE6" s="182"/>
      <c r="AF6" s="182">
        <v>1</v>
      </c>
      <c r="AG6" s="182">
        <v>2</v>
      </c>
      <c r="AH6" s="182">
        <v>3</v>
      </c>
      <c r="AI6" s="182">
        <v>4</v>
      </c>
      <c r="AJ6" s="182">
        <v>5</v>
      </c>
      <c r="AK6" s="182">
        <v>6</v>
      </c>
      <c r="AL6" s="182"/>
      <c r="AM6" s="182">
        <v>1</v>
      </c>
      <c r="AN6" s="182">
        <v>2</v>
      </c>
      <c r="AO6" s="182">
        <v>3</v>
      </c>
      <c r="AP6" s="182">
        <v>4</v>
      </c>
      <c r="AQ6" s="182">
        <v>5</v>
      </c>
      <c r="AR6" s="182">
        <v>6</v>
      </c>
      <c r="AS6" s="182">
        <f ca="1">OFFSET(INDIRECT(VLOOKUP(VLOOKUP(clFiscalYear,rgPerpCal,9,TRUE),rgPerpMons,2,TRUE)),0,0)</f>
        <v>0</v>
      </c>
      <c r="AT6" s="182">
        <f ca="1">OFFSET(INDIRECT(VLOOKUP(VLOOKUP(clFiscalYear,rgPerpCal,9,TRUE),rgPerpMons,2,TRUE)),0,1)</f>
        <v>0</v>
      </c>
      <c r="AU6" s="182">
        <f ca="1">OFFSET(INDIRECT(VLOOKUP(VLOOKUP(clFiscalYear,rgPerpCal,9,TRUE),rgPerpMons,2,TRUE)),0,2)</f>
        <v>1</v>
      </c>
      <c r="AV6" s="182">
        <f ca="1">OFFSET(INDIRECT(VLOOKUP(VLOOKUP(clFiscalYear,rgPerpCal,9,TRUE),rgPerpMons,2,TRUE)),0,3)</f>
        <v>2</v>
      </c>
      <c r="AW6" s="182">
        <f ca="1">OFFSET(INDIRECT(VLOOKUP(VLOOKUP(clFiscalYear,rgPerpCal,9,TRUE),rgPerpMons,2,TRUE)),0,4)</f>
        <v>3</v>
      </c>
      <c r="AX6" s="182">
        <f ca="1">OFFSET(INDIRECT(VLOOKUP(VLOOKUP(clFiscalYear,rgPerpCal,9,TRUE),rgPerpMons,2,TRUE)),0,5)</f>
        <v>4</v>
      </c>
      <c r="AY6" s="182">
        <f ca="1">OFFSET(INDIRECT(VLOOKUP(VLOOKUP(clFiscalYear,rgPerpCal,9,TRUE),rgPerpMons,2,TRUE)),0,6)</f>
        <v>5</v>
      </c>
      <c r="AZ6" s="181">
        <f aca="true" t="shared" si="29" ref="AZ6:BF10">IF(AS6&lt;&gt;0,DATEVALUE(AS6&amp;" August "&amp;clFiscalYear-1),0)</f>
        <v>0</v>
      </c>
      <c r="BA6" s="181">
        <f t="shared" si="29"/>
        <v>0</v>
      </c>
      <c r="BB6" s="181">
        <f t="shared" si="29"/>
        <v>45139</v>
      </c>
      <c r="BC6" s="181">
        <f t="shared" si="29"/>
        <v>45140</v>
      </c>
      <c r="BD6" s="181">
        <f t="shared" si="29"/>
        <v>45141</v>
      </c>
      <c r="BE6" s="181">
        <f t="shared" si="29"/>
        <v>45142</v>
      </c>
      <c r="BF6" s="181">
        <f t="shared" si="29"/>
        <v>45143</v>
      </c>
      <c r="BG6" s="182">
        <f t="shared" si="23"/>
        <v>0</v>
      </c>
      <c r="BH6" s="182">
        <f t="shared" si="24"/>
        <v>0</v>
      </c>
      <c r="BI6" s="182" t="str">
        <f t="shared" si="8"/>
        <v>.1</v>
      </c>
      <c r="BJ6" s="182" t="str">
        <f t="shared" si="9"/>
        <v>.2</v>
      </c>
      <c r="BK6" s="182" t="str">
        <f t="shared" si="10"/>
        <v>.3</v>
      </c>
      <c r="BL6" s="182" t="str">
        <f t="shared" si="11"/>
        <v>.4</v>
      </c>
      <c r="BM6" s="182" t="str">
        <f t="shared" si="12"/>
        <v>.5</v>
      </c>
      <c r="BN6" s="218">
        <f t="shared" si="25"/>
        <v>0</v>
      </c>
      <c r="BO6" s="218">
        <f t="shared" si="26"/>
        <v>0</v>
      </c>
      <c r="BP6" s="218" t="str">
        <f t="shared" si="13"/>
        <v>.1</v>
      </c>
      <c r="BQ6" s="218" t="str">
        <f t="shared" si="14"/>
        <v>.2</v>
      </c>
      <c r="BR6" s="218" t="str">
        <f t="shared" si="15"/>
        <v>.3</v>
      </c>
      <c r="BS6" s="218" t="str">
        <f t="shared" si="16"/>
        <v>.4</v>
      </c>
      <c r="BT6" s="218" t="str">
        <f t="shared" si="17"/>
        <v>.5</v>
      </c>
      <c r="BU6" s="218">
        <f t="shared" si="27"/>
        <v>0</v>
      </c>
      <c r="BV6" s="218">
        <f t="shared" si="28"/>
        <v>0</v>
      </c>
      <c r="BW6" s="218" t="str">
        <f t="shared" si="18"/>
        <v>.1</v>
      </c>
      <c r="BX6" s="218" t="str">
        <f t="shared" si="19"/>
        <v>.2</v>
      </c>
      <c r="BY6" s="218" t="str">
        <f t="shared" si="20"/>
        <v>.3</v>
      </c>
      <c r="BZ6" s="218" t="str">
        <f t="shared" si="21"/>
        <v>.4</v>
      </c>
      <c r="CA6" s="218" t="str">
        <f t="shared" si="22"/>
        <v>.5</v>
      </c>
    </row>
    <row r="7" spans="3:79" ht="12.75">
      <c r="C7" s="204"/>
      <c r="F7" s="191">
        <f>IF('Cal Info'!D10="","",DATEVALUE('Cal Info'!B10&amp;" "&amp;'Cal Info'!C10&amp;", "&amp;'Cal Info'!D10))</f>
      </c>
      <c r="G7" s="192">
        <f>IF('Cal Info'!F10="","",DATEVALUE('Cal Info'!E10&amp;" "&amp;'Cal Info'!F10&amp;", "&amp;'Cal Info'!G10))</f>
      </c>
      <c r="H7" s="193">
        <f>IF('Cal Info'!J10="","",DATEVALUE('Cal Info'!I10&amp;" "&amp;'Cal Info'!J10&amp;", "&amp;'Cal Info'!K10))</f>
      </c>
      <c r="J7" s="182">
        <f t="shared" si="0"/>
        <v>6</v>
      </c>
      <c r="K7" s="182">
        <f t="shared" si="1"/>
        <v>7</v>
      </c>
      <c r="L7" s="182">
        <f t="shared" si="2"/>
        <v>8</v>
      </c>
      <c r="M7" s="182">
        <f t="shared" si="3"/>
        <v>9</v>
      </c>
      <c r="N7" s="182">
        <f t="shared" si="4"/>
        <v>10</v>
      </c>
      <c r="O7" s="182">
        <f t="shared" si="5"/>
        <v>11</v>
      </c>
      <c r="P7" s="182">
        <f t="shared" si="6"/>
        <v>12</v>
      </c>
      <c r="Q7" s="182">
        <v>7</v>
      </c>
      <c r="R7" s="182">
        <v>8</v>
      </c>
      <c r="S7" s="182">
        <v>9</v>
      </c>
      <c r="T7" s="182">
        <v>10</v>
      </c>
      <c r="U7" s="182">
        <v>11</v>
      </c>
      <c r="V7" s="189">
        <v>12</v>
      </c>
      <c r="W7" s="182">
        <v>13</v>
      </c>
      <c r="X7" s="182">
        <v>7</v>
      </c>
      <c r="Y7" s="182">
        <v>8</v>
      </c>
      <c r="Z7" s="182">
        <v>9</v>
      </c>
      <c r="AA7" s="182">
        <v>10</v>
      </c>
      <c r="AB7" s="182">
        <v>11</v>
      </c>
      <c r="AC7" s="189">
        <v>12</v>
      </c>
      <c r="AD7" s="182">
        <v>13</v>
      </c>
      <c r="AE7" s="182">
        <v>7</v>
      </c>
      <c r="AF7" s="182">
        <v>8</v>
      </c>
      <c r="AG7" s="182">
        <v>9</v>
      </c>
      <c r="AH7" s="182">
        <v>10</v>
      </c>
      <c r="AI7" s="182">
        <v>11</v>
      </c>
      <c r="AJ7" s="189">
        <v>12</v>
      </c>
      <c r="AK7" s="182">
        <v>13</v>
      </c>
      <c r="AL7" s="182">
        <v>7</v>
      </c>
      <c r="AM7" s="182">
        <v>8</v>
      </c>
      <c r="AN7" s="182">
        <v>9</v>
      </c>
      <c r="AO7" s="182">
        <v>10</v>
      </c>
      <c r="AP7" s="182">
        <v>11</v>
      </c>
      <c r="AQ7" s="189">
        <v>12</v>
      </c>
      <c r="AR7" s="182">
        <v>13</v>
      </c>
      <c r="AS7" s="182">
        <f ca="1">OFFSET(INDIRECT(VLOOKUP(VLOOKUP(clFiscalYear,rgPerpCal,9,TRUE),rgPerpMons,2,TRUE)),1,0)</f>
        <v>6</v>
      </c>
      <c r="AT7" s="182">
        <f ca="1">OFFSET(INDIRECT(VLOOKUP(VLOOKUP(clFiscalYear,rgPerpCal,9,TRUE),rgPerpMons,2,TRUE)),1,1)</f>
        <v>7</v>
      </c>
      <c r="AU7" s="182">
        <f ca="1">OFFSET(INDIRECT(VLOOKUP(VLOOKUP(clFiscalYear,rgPerpCal,9,TRUE),rgPerpMons,2,TRUE)),1,2)</f>
        <v>8</v>
      </c>
      <c r="AV7" s="182">
        <f ca="1">OFFSET(INDIRECT(VLOOKUP(VLOOKUP(clFiscalYear,rgPerpCal,9,TRUE),rgPerpMons,2,TRUE)),1,3)</f>
        <v>9</v>
      </c>
      <c r="AW7" s="182">
        <f ca="1">OFFSET(INDIRECT(VLOOKUP(VLOOKUP(clFiscalYear,rgPerpCal,9,TRUE),rgPerpMons,2,TRUE)),1,4)</f>
        <v>10</v>
      </c>
      <c r="AX7" s="182">
        <f ca="1">OFFSET(INDIRECT(VLOOKUP(VLOOKUP(clFiscalYear,rgPerpCal,9,TRUE),rgPerpMons,2,TRUE)),1,5)</f>
        <v>11</v>
      </c>
      <c r="AY7" s="182">
        <f ca="1">OFFSET(INDIRECT(VLOOKUP(VLOOKUP(clFiscalYear,rgPerpCal,9,TRUE),rgPerpMons,2,TRUE)),1,6)</f>
        <v>12</v>
      </c>
      <c r="AZ7" s="181">
        <f t="shared" si="29"/>
        <v>45144</v>
      </c>
      <c r="BA7" s="181">
        <f t="shared" si="29"/>
        <v>45145</v>
      </c>
      <c r="BB7" s="181">
        <f t="shared" si="29"/>
        <v>45146</v>
      </c>
      <c r="BC7" s="181">
        <f t="shared" si="29"/>
        <v>45147</v>
      </c>
      <c r="BD7" s="181">
        <f t="shared" si="29"/>
        <v>45148</v>
      </c>
      <c r="BE7" s="181">
        <f t="shared" si="29"/>
        <v>45149</v>
      </c>
      <c r="BF7" s="181">
        <f t="shared" si="29"/>
        <v>45150</v>
      </c>
      <c r="BG7" s="182" t="str">
        <f t="shared" si="23"/>
        <v>.6</v>
      </c>
      <c r="BH7" s="182" t="str">
        <f t="shared" si="24"/>
        <v>.7</v>
      </c>
      <c r="BI7" s="182" t="str">
        <f t="shared" si="8"/>
        <v>.8</v>
      </c>
      <c r="BJ7" s="182" t="str">
        <f t="shared" si="9"/>
        <v>.9</v>
      </c>
      <c r="BK7" s="182" t="str">
        <f t="shared" si="10"/>
        <v>.10</v>
      </c>
      <c r="BL7" s="182" t="str">
        <f t="shared" si="11"/>
        <v>.11</v>
      </c>
      <c r="BM7" s="182" t="str">
        <f t="shared" si="12"/>
        <v>.12</v>
      </c>
      <c r="BN7" s="218" t="str">
        <f t="shared" si="25"/>
        <v>.6</v>
      </c>
      <c r="BO7" s="218" t="str">
        <f t="shared" si="26"/>
        <v>.7</v>
      </c>
      <c r="BP7" s="218" t="str">
        <f t="shared" si="13"/>
        <v>.8</v>
      </c>
      <c r="BQ7" s="218" t="str">
        <f t="shared" si="14"/>
        <v>.9</v>
      </c>
      <c r="BR7" s="218" t="str">
        <f t="shared" si="15"/>
        <v>.10</v>
      </c>
      <c r="BS7" s="218" t="str">
        <f t="shared" si="16"/>
        <v>.11</v>
      </c>
      <c r="BT7" s="218" t="str">
        <f t="shared" si="17"/>
        <v>.12</v>
      </c>
      <c r="BU7" s="218" t="str">
        <f t="shared" si="27"/>
        <v>.6</v>
      </c>
      <c r="BV7" s="218" t="str">
        <f t="shared" si="28"/>
        <v>.7</v>
      </c>
      <c r="BW7" s="218" t="str">
        <f t="shared" si="18"/>
        <v>.8</v>
      </c>
      <c r="BX7" s="218" t="str">
        <f t="shared" si="19"/>
        <v>.9</v>
      </c>
      <c r="BY7" s="218" t="str">
        <f t="shared" si="20"/>
        <v>.10</v>
      </c>
      <c r="BZ7" s="218" t="str">
        <f t="shared" si="21"/>
        <v>.11</v>
      </c>
      <c r="CA7" s="218" t="str">
        <f t="shared" si="22"/>
        <v>.12</v>
      </c>
    </row>
    <row r="8" spans="6:79" ht="12.75">
      <c r="F8" s="191">
        <f>IF('Cal Info'!D11="","",DATEVALUE('Cal Info'!B11&amp;" "&amp;'Cal Info'!C11&amp;", "&amp;'Cal Info'!D11))</f>
      </c>
      <c r="G8" s="192">
        <f>IF('Cal Info'!F11="","",DATEVALUE('Cal Info'!E11&amp;" "&amp;'Cal Info'!F11&amp;", "&amp;'Cal Info'!G11))</f>
      </c>
      <c r="H8" s="193">
        <f>IF('Cal Info'!J11="","",DATEVALUE('Cal Info'!I11&amp;" "&amp;'Cal Info'!J11&amp;", "&amp;'Cal Info'!K11))</f>
      </c>
      <c r="J8" s="182">
        <f t="shared" si="0"/>
        <v>13</v>
      </c>
      <c r="K8" s="182">
        <f t="shared" si="1"/>
        <v>14</v>
      </c>
      <c r="L8" s="182">
        <f t="shared" si="2"/>
        <v>15</v>
      </c>
      <c r="M8" s="182">
        <f t="shared" si="3"/>
        <v>16</v>
      </c>
      <c r="N8" s="182">
        <f t="shared" si="4"/>
        <v>17</v>
      </c>
      <c r="O8" s="182">
        <f t="shared" si="5"/>
        <v>18</v>
      </c>
      <c r="P8" s="182">
        <f t="shared" si="6"/>
        <v>19</v>
      </c>
      <c r="Q8" s="182">
        <v>14</v>
      </c>
      <c r="R8" s="194">
        <v>15</v>
      </c>
      <c r="S8" s="182">
        <v>16</v>
      </c>
      <c r="T8" s="182">
        <v>17</v>
      </c>
      <c r="U8" s="182">
        <v>18</v>
      </c>
      <c r="V8" s="182">
        <v>19</v>
      </c>
      <c r="W8" s="182">
        <v>20</v>
      </c>
      <c r="X8" s="182">
        <v>14</v>
      </c>
      <c r="Y8" s="194">
        <v>15</v>
      </c>
      <c r="Z8" s="182">
        <v>16</v>
      </c>
      <c r="AA8" s="182">
        <v>17</v>
      </c>
      <c r="AB8" s="182">
        <v>18</v>
      </c>
      <c r="AC8" s="182">
        <v>19</v>
      </c>
      <c r="AD8" s="182">
        <v>20</v>
      </c>
      <c r="AE8" s="182">
        <v>14</v>
      </c>
      <c r="AF8" s="194">
        <v>15</v>
      </c>
      <c r="AG8" s="182">
        <v>16</v>
      </c>
      <c r="AH8" s="182">
        <v>17</v>
      </c>
      <c r="AI8" s="182">
        <v>18</v>
      </c>
      <c r="AJ8" s="182">
        <v>19</v>
      </c>
      <c r="AK8" s="182">
        <v>20</v>
      </c>
      <c r="AL8" s="182">
        <v>14</v>
      </c>
      <c r="AM8" s="194">
        <v>15</v>
      </c>
      <c r="AN8" s="182">
        <v>16</v>
      </c>
      <c r="AO8" s="182">
        <v>17</v>
      </c>
      <c r="AP8" s="182">
        <v>18</v>
      </c>
      <c r="AQ8" s="182">
        <v>19</v>
      </c>
      <c r="AR8" s="182">
        <v>20</v>
      </c>
      <c r="AS8" s="182">
        <f ca="1">OFFSET(INDIRECT(VLOOKUP(VLOOKUP(clFiscalYear,rgPerpCal,9,TRUE),rgPerpMons,2,TRUE)),2,0)</f>
        <v>13</v>
      </c>
      <c r="AT8" s="182">
        <f ca="1">OFFSET(INDIRECT(VLOOKUP(VLOOKUP(clFiscalYear,rgPerpCal,9,TRUE),rgPerpMons,2,TRUE)),2,1)</f>
        <v>14</v>
      </c>
      <c r="AU8" s="182">
        <f ca="1">OFFSET(INDIRECT(VLOOKUP(VLOOKUP(clFiscalYear,rgPerpCal,9,TRUE),rgPerpMons,2,TRUE)),2,2)</f>
        <v>15</v>
      </c>
      <c r="AV8" s="182">
        <f ca="1">OFFSET(INDIRECT(VLOOKUP(VLOOKUP(clFiscalYear,rgPerpCal,9,TRUE),rgPerpMons,2,TRUE)),2,3)</f>
        <v>16</v>
      </c>
      <c r="AW8" s="182">
        <f ca="1">OFFSET(INDIRECT(VLOOKUP(VLOOKUP(clFiscalYear,rgPerpCal,9,TRUE),rgPerpMons,2,TRUE)),2,4)</f>
        <v>17</v>
      </c>
      <c r="AX8" s="182">
        <f ca="1">OFFSET(INDIRECT(VLOOKUP(VLOOKUP(clFiscalYear,rgPerpCal,9,TRUE),rgPerpMons,2,TRUE)),2,5)</f>
        <v>18</v>
      </c>
      <c r="AY8" s="182">
        <f ca="1">OFFSET(INDIRECT(VLOOKUP(VLOOKUP(clFiscalYear,rgPerpCal,9,TRUE),rgPerpMons,2,TRUE)),2,6)</f>
        <v>19</v>
      </c>
      <c r="AZ8" s="181">
        <f t="shared" si="29"/>
        <v>45151</v>
      </c>
      <c r="BA8" s="181">
        <f t="shared" si="29"/>
        <v>45152</v>
      </c>
      <c r="BB8" s="181">
        <f t="shared" si="29"/>
        <v>45153</v>
      </c>
      <c r="BC8" s="181">
        <f t="shared" si="29"/>
        <v>45154</v>
      </c>
      <c r="BD8" s="181">
        <f t="shared" si="29"/>
        <v>45155</v>
      </c>
      <c r="BE8" s="181">
        <f t="shared" si="29"/>
        <v>45156</v>
      </c>
      <c r="BF8" s="181">
        <f t="shared" si="29"/>
        <v>45157</v>
      </c>
      <c r="BG8" s="182" t="str">
        <f t="shared" si="23"/>
        <v>.13</v>
      </c>
      <c r="BH8" s="182" t="str">
        <f t="shared" si="24"/>
        <v>.14</v>
      </c>
      <c r="BI8" s="182" t="str">
        <f t="shared" si="8"/>
        <v>.15</v>
      </c>
      <c r="BJ8" s="182" t="str">
        <f t="shared" si="9"/>
        <v>.16</v>
      </c>
      <c r="BK8" s="182" t="str">
        <f t="shared" si="10"/>
        <v>.17</v>
      </c>
      <c r="BL8" s="182" t="str">
        <f t="shared" si="11"/>
        <v>.18</v>
      </c>
      <c r="BM8" s="182" t="str">
        <f t="shared" si="12"/>
        <v>.19</v>
      </c>
      <c r="BN8" s="218" t="str">
        <f t="shared" si="25"/>
        <v>.13</v>
      </c>
      <c r="BO8" s="218" t="str">
        <f t="shared" si="26"/>
        <v>.14</v>
      </c>
      <c r="BP8" s="218" t="str">
        <f t="shared" si="13"/>
        <v>.15</v>
      </c>
      <c r="BQ8" s="218" t="str">
        <f t="shared" si="14"/>
        <v>.16</v>
      </c>
      <c r="BR8" s="218" t="str">
        <f t="shared" si="15"/>
        <v>.17</v>
      </c>
      <c r="BS8" s="218" t="str">
        <f t="shared" si="16"/>
        <v>.18</v>
      </c>
      <c r="BT8" s="218" t="str">
        <f t="shared" si="17"/>
        <v>.19</v>
      </c>
      <c r="BU8" s="218" t="str">
        <f t="shared" si="27"/>
        <v>.13</v>
      </c>
      <c r="BV8" s="218" t="str">
        <f t="shared" si="28"/>
        <v>.14</v>
      </c>
      <c r="BW8" s="218" t="str">
        <f t="shared" si="18"/>
        <v>.15</v>
      </c>
      <c r="BX8" s="218" t="str">
        <f t="shared" si="19"/>
        <v>.16</v>
      </c>
      <c r="BY8" s="218" t="str">
        <f t="shared" si="20"/>
        <v>.17</v>
      </c>
      <c r="BZ8" s="218" t="str">
        <f t="shared" si="21"/>
        <v>.18</v>
      </c>
      <c r="CA8" s="218" t="str">
        <f t="shared" si="22"/>
        <v>.19</v>
      </c>
    </row>
    <row r="9" spans="6:79" ht="12.75">
      <c r="F9" s="191">
        <f>IF('Cal Info'!D12="","",DATEVALUE('Cal Info'!B12&amp;" "&amp;'Cal Info'!C12&amp;", "&amp;'Cal Info'!D12))</f>
      </c>
      <c r="G9" s="192">
        <f>IF('Cal Info'!F12="","",DATEVALUE('Cal Info'!E12&amp;" "&amp;'Cal Info'!F12&amp;", "&amp;'Cal Info'!G12))</f>
      </c>
      <c r="H9" s="193">
        <f>IF('Cal Info'!J12="","",DATEVALUE('Cal Info'!I12&amp;" "&amp;'Cal Info'!J12&amp;", "&amp;'Cal Info'!K12))</f>
      </c>
      <c r="J9" s="182">
        <f t="shared" si="0"/>
        <v>20</v>
      </c>
      <c r="K9" s="182">
        <f t="shared" si="1"/>
        <v>21</v>
      </c>
      <c r="L9" s="182">
        <f t="shared" si="2"/>
        <v>22</v>
      </c>
      <c r="M9" s="182">
        <f t="shared" si="3"/>
        <v>23</v>
      </c>
      <c r="N9" s="182">
        <f t="shared" si="4"/>
        <v>24</v>
      </c>
      <c r="O9" s="182">
        <f t="shared" si="5"/>
        <v>25</v>
      </c>
      <c r="P9" s="182">
        <f t="shared" si="6"/>
        <v>26</v>
      </c>
      <c r="Q9" s="182">
        <v>21</v>
      </c>
      <c r="R9" s="182">
        <v>22</v>
      </c>
      <c r="S9" s="182">
        <v>23</v>
      </c>
      <c r="T9" s="194">
        <v>24</v>
      </c>
      <c r="U9" s="182">
        <v>25</v>
      </c>
      <c r="V9" s="182">
        <v>26</v>
      </c>
      <c r="W9" s="182">
        <v>27</v>
      </c>
      <c r="X9" s="182">
        <v>21</v>
      </c>
      <c r="Y9" s="182">
        <v>22</v>
      </c>
      <c r="Z9" s="182">
        <v>23</v>
      </c>
      <c r="AA9" s="194">
        <v>24</v>
      </c>
      <c r="AB9" s="182">
        <v>25</v>
      </c>
      <c r="AC9" s="182">
        <v>26</v>
      </c>
      <c r="AD9" s="182">
        <v>27</v>
      </c>
      <c r="AE9" s="182">
        <v>21</v>
      </c>
      <c r="AF9" s="182">
        <v>22</v>
      </c>
      <c r="AG9" s="182">
        <v>23</v>
      </c>
      <c r="AH9" s="194">
        <v>24</v>
      </c>
      <c r="AI9" s="182">
        <v>25</v>
      </c>
      <c r="AJ9" s="182">
        <v>26</v>
      </c>
      <c r="AK9" s="182">
        <v>27</v>
      </c>
      <c r="AL9" s="182">
        <v>21</v>
      </c>
      <c r="AM9" s="182">
        <v>22</v>
      </c>
      <c r="AN9" s="182">
        <v>23</v>
      </c>
      <c r="AO9" s="194">
        <v>24</v>
      </c>
      <c r="AP9" s="182">
        <v>25</v>
      </c>
      <c r="AQ9" s="182">
        <v>26</v>
      </c>
      <c r="AR9" s="182">
        <v>27</v>
      </c>
      <c r="AS9" s="182">
        <f ca="1">OFFSET(INDIRECT(VLOOKUP(VLOOKUP(clFiscalYear,rgPerpCal,9,TRUE),rgPerpMons,2,TRUE)),3,0)</f>
        <v>20</v>
      </c>
      <c r="AT9" s="182">
        <f ca="1">OFFSET(INDIRECT(VLOOKUP(VLOOKUP(clFiscalYear,rgPerpCal,9,TRUE),rgPerpMons,2,TRUE)),3,1)</f>
        <v>21</v>
      </c>
      <c r="AU9" s="182">
        <f ca="1">OFFSET(INDIRECT(VLOOKUP(VLOOKUP(clFiscalYear,rgPerpCal,9,TRUE),rgPerpMons,2,TRUE)),3,2)</f>
        <v>22</v>
      </c>
      <c r="AV9" s="182">
        <f ca="1">OFFSET(INDIRECT(VLOOKUP(VLOOKUP(clFiscalYear,rgPerpCal,9,TRUE),rgPerpMons,2,TRUE)),3,3)</f>
        <v>23</v>
      </c>
      <c r="AW9" s="182">
        <f ca="1">OFFSET(INDIRECT(VLOOKUP(VLOOKUP(clFiscalYear,rgPerpCal,9,TRUE),rgPerpMons,2,TRUE)),3,4)</f>
        <v>24</v>
      </c>
      <c r="AX9" s="182">
        <f ca="1">OFFSET(INDIRECT(VLOOKUP(VLOOKUP(clFiscalYear,rgPerpCal,9,TRUE),rgPerpMons,2,TRUE)),3,5)</f>
        <v>25</v>
      </c>
      <c r="AY9" s="182">
        <f ca="1">OFFSET(INDIRECT(VLOOKUP(VLOOKUP(clFiscalYear,rgPerpCal,9,TRUE),rgPerpMons,2,TRUE)),3,6)</f>
        <v>26</v>
      </c>
      <c r="AZ9" s="181">
        <f t="shared" si="29"/>
        <v>45158</v>
      </c>
      <c r="BA9" s="181">
        <f t="shared" si="29"/>
        <v>45159</v>
      </c>
      <c r="BB9" s="181">
        <f t="shared" si="29"/>
        <v>45160</v>
      </c>
      <c r="BC9" s="181">
        <f t="shared" si="29"/>
        <v>45161</v>
      </c>
      <c r="BD9" s="181">
        <f t="shared" si="29"/>
        <v>45162</v>
      </c>
      <c r="BE9" s="181">
        <f t="shared" si="29"/>
        <v>45163</v>
      </c>
      <c r="BF9" s="181">
        <f t="shared" si="29"/>
        <v>45164</v>
      </c>
      <c r="BG9" s="182" t="str">
        <f t="shared" si="23"/>
        <v>.20</v>
      </c>
      <c r="BH9" s="182" t="str">
        <f t="shared" si="24"/>
        <v>.21</v>
      </c>
      <c r="BI9" s="182" t="str">
        <f t="shared" si="8"/>
        <v>.22</v>
      </c>
      <c r="BJ9" s="182" t="str">
        <f t="shared" si="9"/>
        <v>.23</v>
      </c>
      <c r="BK9" s="182" t="str">
        <f t="shared" si="10"/>
        <v>.24</v>
      </c>
      <c r="BL9" s="182" t="str">
        <f t="shared" si="11"/>
        <v>.25</v>
      </c>
      <c r="BM9" s="182" t="str">
        <f t="shared" si="12"/>
        <v>.26</v>
      </c>
      <c r="BN9" s="218" t="str">
        <f t="shared" si="25"/>
        <v>.20</v>
      </c>
      <c r="BO9" s="218" t="str">
        <f t="shared" si="26"/>
        <v>.21</v>
      </c>
      <c r="BP9" s="218" t="str">
        <f t="shared" si="13"/>
        <v>.22</v>
      </c>
      <c r="BQ9" s="218" t="str">
        <f t="shared" si="14"/>
        <v>.23</v>
      </c>
      <c r="BR9" s="218" t="str">
        <f t="shared" si="15"/>
        <v>.24</v>
      </c>
      <c r="BS9" s="218" t="str">
        <f t="shared" si="16"/>
        <v>.25</v>
      </c>
      <c r="BT9" s="218" t="str">
        <f t="shared" si="17"/>
        <v>.26</v>
      </c>
      <c r="BU9" s="218" t="str">
        <f t="shared" si="27"/>
        <v>.20</v>
      </c>
      <c r="BV9" s="218" t="str">
        <f t="shared" si="28"/>
        <v>.21</v>
      </c>
      <c r="BW9" s="218" t="str">
        <f t="shared" si="18"/>
        <v>.22</v>
      </c>
      <c r="BX9" s="218" t="str">
        <f t="shared" si="19"/>
        <v>.23</v>
      </c>
      <c r="BY9" s="218" t="str">
        <f t="shared" si="20"/>
        <v>.24</v>
      </c>
      <c r="BZ9" s="218" t="str">
        <f t="shared" si="21"/>
        <v>.25</v>
      </c>
      <c r="CA9" s="218" t="str">
        <f t="shared" si="22"/>
        <v>.26</v>
      </c>
    </row>
    <row r="10" spans="6:79" ht="12.75">
      <c r="F10" s="191">
        <f>IF('Cal Info'!D13="","",DATEVALUE('Cal Info'!B13&amp;" "&amp;'Cal Info'!C13&amp;", "&amp;'Cal Info'!D13))</f>
      </c>
      <c r="G10" s="192">
        <f>IF('Cal Info'!F13="","",DATEVALUE('Cal Info'!E13&amp;" "&amp;'Cal Info'!F13&amp;", "&amp;'Cal Info'!G13))</f>
      </c>
      <c r="H10" s="193">
        <f>IF('Cal Info'!J13="","",DATEVALUE('Cal Info'!I13&amp;" "&amp;'Cal Info'!J13&amp;", "&amp;'Cal Info'!K13))</f>
      </c>
      <c r="J10" s="182">
        <f t="shared" si="0"/>
        <v>27</v>
      </c>
      <c r="K10" s="182">
        <f t="shared" si="1"/>
        <v>28</v>
      </c>
      <c r="L10" s="182">
        <f t="shared" si="2"/>
        <v>29</v>
      </c>
      <c r="M10" s="182">
        <f t="shared" si="3"/>
        <v>30</v>
      </c>
      <c r="N10" s="182">
        <f t="shared" si="4"/>
        <v>31</v>
      </c>
      <c r="O10" s="182">
        <f t="shared" si="5"/>
        <v>0</v>
      </c>
      <c r="P10" s="182">
        <f t="shared" si="6"/>
        <v>0</v>
      </c>
      <c r="Q10" s="182">
        <v>28</v>
      </c>
      <c r="R10" s="197">
        <v>29</v>
      </c>
      <c r="S10" s="182">
        <v>30</v>
      </c>
      <c r="T10" s="182">
        <v>31</v>
      </c>
      <c r="U10" s="182"/>
      <c r="V10" s="182"/>
      <c r="W10" s="182"/>
      <c r="X10" s="182">
        <v>28</v>
      </c>
      <c r="Y10" s="197">
        <v>29</v>
      </c>
      <c r="Z10" s="182">
        <v>30</v>
      </c>
      <c r="AA10" s="182"/>
      <c r="AB10" s="182"/>
      <c r="AC10" s="182"/>
      <c r="AD10" s="182"/>
      <c r="AE10" s="182">
        <v>28</v>
      </c>
      <c r="AF10" s="197"/>
      <c r="AG10" s="182"/>
      <c r="AH10" s="182"/>
      <c r="AI10" s="182"/>
      <c r="AJ10" s="182"/>
      <c r="AK10" s="182"/>
      <c r="AL10" s="182">
        <v>28</v>
      </c>
      <c r="AM10" s="197">
        <v>29</v>
      </c>
      <c r="AN10" s="182"/>
      <c r="AO10" s="182"/>
      <c r="AP10" s="182"/>
      <c r="AQ10" s="182"/>
      <c r="AR10" s="182"/>
      <c r="AS10" s="182">
        <f ca="1">OFFSET(INDIRECT(VLOOKUP(VLOOKUP(clFiscalYear,rgPerpCal,9,TRUE),rgPerpMons,2,TRUE)),4,0)</f>
        <v>27</v>
      </c>
      <c r="AT10" s="182">
        <f ca="1">OFFSET(INDIRECT(VLOOKUP(VLOOKUP(clFiscalYear,rgPerpCal,9,TRUE),rgPerpMons,2,TRUE)),4,1)</f>
        <v>28</v>
      </c>
      <c r="AU10" s="182">
        <f ca="1">OFFSET(INDIRECT(VLOOKUP(VLOOKUP(clFiscalYear,rgPerpCal,9,TRUE),rgPerpMons,2,TRUE)),4,2)</f>
        <v>29</v>
      </c>
      <c r="AV10" s="182">
        <f ca="1">OFFSET(INDIRECT(VLOOKUP(VLOOKUP(clFiscalYear,rgPerpCal,9,TRUE),rgPerpMons,2,TRUE)),4,3)</f>
        <v>30</v>
      </c>
      <c r="AW10" s="182">
        <f ca="1">OFFSET(INDIRECT(VLOOKUP(VLOOKUP(clFiscalYear,rgPerpCal,9,TRUE),rgPerpMons,2,TRUE)),4,4)</f>
        <v>31</v>
      </c>
      <c r="AX10" s="182">
        <f ca="1">OFFSET(INDIRECT(VLOOKUP(VLOOKUP(clFiscalYear,rgPerpCal,9,TRUE),rgPerpMons,2,TRUE)),4,5)</f>
        <v>0</v>
      </c>
      <c r="AY10" s="182">
        <f ca="1">OFFSET(INDIRECT(VLOOKUP(VLOOKUP(clFiscalYear,rgPerpCal,9,TRUE),rgPerpMons,2,TRUE)),4,6)</f>
        <v>0</v>
      </c>
      <c r="AZ10" s="181">
        <f t="shared" si="29"/>
        <v>45165</v>
      </c>
      <c r="BA10" s="181">
        <f t="shared" si="29"/>
        <v>45166</v>
      </c>
      <c r="BB10" s="181">
        <f t="shared" si="29"/>
        <v>45167</v>
      </c>
      <c r="BC10" s="181">
        <f t="shared" si="29"/>
        <v>45168</v>
      </c>
      <c r="BD10" s="181">
        <f t="shared" si="29"/>
        <v>45169</v>
      </c>
      <c r="BE10" s="181">
        <f t="shared" si="29"/>
        <v>0</v>
      </c>
      <c r="BF10" s="181">
        <f t="shared" si="29"/>
        <v>0</v>
      </c>
      <c r="BG10" s="182" t="str">
        <f t="shared" si="23"/>
        <v>.27</v>
      </c>
      <c r="BH10" s="182" t="str">
        <f t="shared" si="24"/>
        <v>.28</v>
      </c>
      <c r="BI10" s="182" t="str">
        <f t="shared" si="8"/>
        <v>.29</v>
      </c>
      <c r="BJ10" s="182" t="str">
        <f t="shared" si="9"/>
        <v>.30</v>
      </c>
      <c r="BK10" s="182" t="str">
        <f t="shared" si="10"/>
        <v>.31</v>
      </c>
      <c r="BL10" s="182">
        <f t="shared" si="11"/>
        <v>0</v>
      </c>
      <c r="BM10" s="182">
        <f t="shared" si="12"/>
        <v>0</v>
      </c>
      <c r="BN10" s="218" t="str">
        <f t="shared" si="25"/>
        <v>.27</v>
      </c>
      <c r="BO10" s="218" t="str">
        <f t="shared" si="26"/>
        <v>.28</v>
      </c>
      <c r="BP10" s="218" t="str">
        <f t="shared" si="13"/>
        <v>.29</v>
      </c>
      <c r="BQ10" s="218" t="str">
        <f t="shared" si="14"/>
        <v>.30</v>
      </c>
      <c r="BR10" s="218" t="str">
        <f t="shared" si="15"/>
        <v>.31</v>
      </c>
      <c r="BS10" s="218">
        <f t="shared" si="16"/>
        <v>0</v>
      </c>
      <c r="BT10" s="218">
        <f t="shared" si="17"/>
        <v>0</v>
      </c>
      <c r="BU10" s="218" t="str">
        <f t="shared" si="27"/>
        <v>.27</v>
      </c>
      <c r="BV10" s="218" t="str">
        <f t="shared" si="28"/>
        <v>.28</v>
      </c>
      <c r="BW10" s="218" t="str">
        <f t="shared" si="18"/>
        <v>.29</v>
      </c>
      <c r="BX10" s="218" t="str">
        <f t="shared" si="19"/>
        <v>.30</v>
      </c>
      <c r="BY10" s="218" t="str">
        <f t="shared" si="20"/>
        <v>.31</v>
      </c>
      <c r="BZ10" s="218">
        <f t="shared" si="21"/>
        <v>0</v>
      </c>
      <c r="CA10" s="218">
        <f t="shared" si="22"/>
        <v>0</v>
      </c>
    </row>
    <row r="11" spans="6:79" ht="12.75">
      <c r="F11" s="191">
        <f>IF('Cal Info'!D14="","",DATEVALUE('Cal Info'!B14&amp;" "&amp;'Cal Info'!C14&amp;", "&amp;'Cal Info'!D14))</f>
      </c>
      <c r="G11" s="192">
        <f>IF('Cal Info'!F14="","",DATEVALUE('Cal Info'!E14&amp;" "&amp;'Cal Info'!F14&amp;", "&amp;'Cal Info'!G14))</f>
      </c>
      <c r="H11" s="193">
        <f>IF('Cal Info'!J14="","",DATEVALUE('Cal Info'!I14&amp;" "&amp;'Cal Info'!J14&amp;", "&amp;'Cal Info'!K14))</f>
      </c>
      <c r="J11" s="182">
        <f t="shared" si="0"/>
        <v>0</v>
      </c>
      <c r="K11" s="182">
        <f t="shared" si="1"/>
        <v>0</v>
      </c>
      <c r="L11" s="182">
        <f t="shared" si="2"/>
        <v>0</v>
      </c>
      <c r="M11" s="182">
        <f t="shared" si="3"/>
        <v>0</v>
      </c>
      <c r="N11" s="182">
        <f t="shared" si="4"/>
        <v>0</v>
      </c>
      <c r="O11" s="182">
        <f t="shared" si="5"/>
        <v>1</v>
      </c>
      <c r="P11" s="182">
        <f t="shared" si="6"/>
        <v>2</v>
      </c>
      <c r="Q11" s="182"/>
      <c r="R11" s="182"/>
      <c r="S11" s="182">
        <v>1</v>
      </c>
      <c r="T11" s="182">
        <v>2</v>
      </c>
      <c r="U11" s="182">
        <v>3</v>
      </c>
      <c r="V11" s="182">
        <v>4</v>
      </c>
      <c r="W11" s="182">
        <v>5</v>
      </c>
      <c r="X11" s="182"/>
      <c r="Y11" s="182"/>
      <c r="Z11" s="182">
        <v>1</v>
      </c>
      <c r="AA11" s="182">
        <v>2</v>
      </c>
      <c r="AB11" s="182">
        <v>3</v>
      </c>
      <c r="AC11" s="182">
        <v>4</v>
      </c>
      <c r="AD11" s="182">
        <v>5</v>
      </c>
      <c r="AE11" s="182"/>
      <c r="AF11" s="182"/>
      <c r="AG11" s="182">
        <v>1</v>
      </c>
      <c r="AH11" s="182">
        <v>2</v>
      </c>
      <c r="AI11" s="182">
        <v>3</v>
      </c>
      <c r="AJ11" s="182">
        <v>4</v>
      </c>
      <c r="AK11" s="182">
        <v>5</v>
      </c>
      <c r="AL11" s="182"/>
      <c r="AM11" s="182"/>
      <c r="AN11" s="182">
        <v>1</v>
      </c>
      <c r="AO11" s="182">
        <v>2</v>
      </c>
      <c r="AP11" s="182">
        <v>3</v>
      </c>
      <c r="AQ11" s="182">
        <v>4</v>
      </c>
      <c r="AR11" s="182">
        <v>5</v>
      </c>
      <c r="AS11" s="182">
        <f ca="1">OFFSET(INDIRECT(VLOOKUP(VLOOKUP(clFiscalYear,rgPerpCal,10,TRUE),rgPerpMons,2,TRUE)),0,0)</f>
        <v>0</v>
      </c>
      <c r="AT11" s="182">
        <f ca="1">OFFSET(INDIRECT(VLOOKUP(VLOOKUP(clFiscalYear,rgPerpCal,10,TRUE),rgPerpMons,2,TRUE)),0,1)</f>
        <v>0</v>
      </c>
      <c r="AU11" s="182">
        <f ca="1">OFFSET(INDIRECT(VLOOKUP(VLOOKUP(clFiscalYear,rgPerpCal,10,TRUE),rgPerpMons,2,TRUE)),0,2)</f>
        <v>0</v>
      </c>
      <c r="AV11" s="182">
        <f ca="1">OFFSET(INDIRECT(VLOOKUP(VLOOKUP(clFiscalYear,rgPerpCal,10,TRUE),rgPerpMons,2,TRUE)),0,3)</f>
        <v>0</v>
      </c>
      <c r="AW11" s="182">
        <f ca="1">OFFSET(INDIRECT(VLOOKUP(VLOOKUP(clFiscalYear,rgPerpCal,10,TRUE),rgPerpMons,2,TRUE)),0,4)</f>
        <v>0</v>
      </c>
      <c r="AX11" s="182">
        <f ca="1">OFFSET(INDIRECT(VLOOKUP(VLOOKUP(clFiscalYear,rgPerpCal,10,TRUE),rgPerpMons,2,TRUE)),0,5)</f>
        <v>1</v>
      </c>
      <c r="AY11" s="182">
        <f ca="1">OFFSET(INDIRECT(VLOOKUP(VLOOKUP(clFiscalYear,rgPerpCal,10,TRUE),rgPerpMons,2,TRUE)),0,6)</f>
        <v>2</v>
      </c>
      <c r="AZ11" s="181">
        <f aca="true" t="shared" si="30" ref="AZ11:BF15">IF(AS11&lt;&gt;0,DATEVALUE(AS11&amp;" September "&amp;clFiscalYear-1),0)</f>
        <v>0</v>
      </c>
      <c r="BA11" s="181">
        <f t="shared" si="30"/>
        <v>0</v>
      </c>
      <c r="BB11" s="181">
        <f t="shared" si="30"/>
        <v>0</v>
      </c>
      <c r="BC11" s="181">
        <f t="shared" si="30"/>
        <v>0</v>
      </c>
      <c r="BD11" s="181">
        <f t="shared" si="30"/>
        <v>0</v>
      </c>
      <c r="BE11" s="181">
        <f t="shared" si="30"/>
        <v>45170</v>
      </c>
      <c r="BF11" s="181">
        <f t="shared" si="30"/>
        <v>45171</v>
      </c>
      <c r="BG11" s="182">
        <f t="shared" si="23"/>
        <v>0</v>
      </c>
      <c r="BH11" s="182">
        <f t="shared" si="24"/>
        <v>0</v>
      </c>
      <c r="BI11" s="182">
        <f t="shared" si="8"/>
        <v>0</v>
      </c>
      <c r="BJ11" s="182">
        <f t="shared" si="9"/>
        <v>0</v>
      </c>
      <c r="BK11" s="182">
        <f t="shared" si="10"/>
        <v>0</v>
      </c>
      <c r="BL11" s="182" t="str">
        <f t="shared" si="11"/>
        <v>.1</v>
      </c>
      <c r="BM11" s="182" t="str">
        <f t="shared" si="12"/>
        <v>.2</v>
      </c>
      <c r="BN11" s="218">
        <f t="shared" si="25"/>
        <v>0</v>
      </c>
      <c r="BO11" s="218">
        <f t="shared" si="26"/>
        <v>0</v>
      </c>
      <c r="BP11" s="218">
        <f t="shared" si="13"/>
        <v>0</v>
      </c>
      <c r="BQ11" s="218">
        <f t="shared" si="14"/>
        <v>0</v>
      </c>
      <c r="BR11" s="218">
        <f t="shared" si="15"/>
        <v>0</v>
      </c>
      <c r="BS11" s="218" t="str">
        <f t="shared" si="16"/>
        <v>.1</v>
      </c>
      <c r="BT11" s="218" t="str">
        <f t="shared" si="17"/>
        <v>.2</v>
      </c>
      <c r="BU11" s="218">
        <f t="shared" si="27"/>
        <v>0</v>
      </c>
      <c r="BV11" s="218">
        <f t="shared" si="28"/>
        <v>0</v>
      </c>
      <c r="BW11" s="218">
        <f t="shared" si="18"/>
        <v>0</v>
      </c>
      <c r="BX11" s="218">
        <f t="shared" si="19"/>
        <v>0</v>
      </c>
      <c r="BY11" s="218">
        <f t="shared" si="20"/>
        <v>0</v>
      </c>
      <c r="BZ11" s="218" t="str">
        <f t="shared" si="21"/>
        <v>.1</v>
      </c>
      <c r="CA11" s="218" t="str">
        <f t="shared" si="22"/>
        <v>.2</v>
      </c>
    </row>
    <row r="12" spans="6:79" ht="12.75">
      <c r="F12" s="191">
        <f>IF('Cal Info'!D15="","",DATEVALUE('Cal Info'!B15&amp;" "&amp;'Cal Info'!C15&amp;", "&amp;'Cal Info'!D15))</f>
      </c>
      <c r="G12" s="192">
        <f>IF('Cal Info'!F15="","",DATEVALUE('Cal Info'!E15&amp;" "&amp;'Cal Info'!F15&amp;", "&amp;'Cal Info'!G15))</f>
      </c>
      <c r="H12" s="193">
        <f>IF('Cal Info'!J15="","",DATEVALUE('Cal Info'!I15&amp;" "&amp;'Cal Info'!J15&amp;", "&amp;'Cal Info'!K15))</f>
      </c>
      <c r="J12" s="182">
        <f t="shared" si="0"/>
        <v>3</v>
      </c>
      <c r="K12" s="182">
        <f t="shared" si="1"/>
        <v>4</v>
      </c>
      <c r="L12" s="182">
        <f t="shared" si="2"/>
        <v>5</v>
      </c>
      <c r="M12" s="182">
        <f t="shared" si="3"/>
        <v>6</v>
      </c>
      <c r="N12" s="182">
        <f t="shared" si="4"/>
        <v>7</v>
      </c>
      <c r="O12" s="182">
        <f t="shared" si="5"/>
        <v>8</v>
      </c>
      <c r="P12" s="182">
        <f t="shared" si="6"/>
        <v>9</v>
      </c>
      <c r="Q12" s="182">
        <v>6</v>
      </c>
      <c r="R12" s="182">
        <v>7</v>
      </c>
      <c r="S12" s="182">
        <v>8</v>
      </c>
      <c r="T12" s="182">
        <v>9</v>
      </c>
      <c r="U12" s="182">
        <v>10</v>
      </c>
      <c r="V12" s="189">
        <v>11</v>
      </c>
      <c r="W12" s="182">
        <v>12</v>
      </c>
      <c r="X12" s="182">
        <v>6</v>
      </c>
      <c r="Y12" s="182">
        <v>7</v>
      </c>
      <c r="Z12" s="182">
        <v>8</v>
      </c>
      <c r="AA12" s="182">
        <v>9</v>
      </c>
      <c r="AB12" s="182">
        <v>10</v>
      </c>
      <c r="AC12" s="189">
        <v>11</v>
      </c>
      <c r="AD12" s="182">
        <v>12</v>
      </c>
      <c r="AE12" s="182">
        <v>6</v>
      </c>
      <c r="AF12" s="182">
        <v>7</v>
      </c>
      <c r="AG12" s="182">
        <v>8</v>
      </c>
      <c r="AH12" s="182">
        <v>9</v>
      </c>
      <c r="AI12" s="182">
        <v>10</v>
      </c>
      <c r="AJ12" s="189">
        <v>11</v>
      </c>
      <c r="AK12" s="182">
        <v>12</v>
      </c>
      <c r="AL12" s="182">
        <v>6</v>
      </c>
      <c r="AM12" s="182">
        <v>7</v>
      </c>
      <c r="AN12" s="182">
        <v>8</v>
      </c>
      <c r="AO12" s="182">
        <v>9</v>
      </c>
      <c r="AP12" s="182">
        <v>10</v>
      </c>
      <c r="AQ12" s="189">
        <v>11</v>
      </c>
      <c r="AR12" s="182">
        <v>12</v>
      </c>
      <c r="AS12" s="182">
        <f ca="1">OFFSET(INDIRECT(VLOOKUP(VLOOKUP(clFiscalYear,rgPerpCal,10,TRUE),rgPerpMons,2,TRUE)),1,0)</f>
        <v>3</v>
      </c>
      <c r="AT12" s="182">
        <f ca="1">OFFSET(INDIRECT(VLOOKUP(VLOOKUP(clFiscalYear,rgPerpCal,10,TRUE),rgPerpMons,2,TRUE)),1,1)</f>
        <v>4</v>
      </c>
      <c r="AU12" s="182">
        <f ca="1">OFFSET(INDIRECT(VLOOKUP(VLOOKUP(clFiscalYear,rgPerpCal,10,TRUE),rgPerpMons,2,TRUE)),1,2)</f>
        <v>5</v>
      </c>
      <c r="AV12" s="182">
        <f ca="1">OFFSET(INDIRECT(VLOOKUP(VLOOKUP(clFiscalYear,rgPerpCal,10,TRUE),rgPerpMons,2,TRUE)),1,3)</f>
        <v>6</v>
      </c>
      <c r="AW12" s="182">
        <f ca="1">OFFSET(INDIRECT(VLOOKUP(VLOOKUP(clFiscalYear,rgPerpCal,10,TRUE),rgPerpMons,2,TRUE)),1,4)</f>
        <v>7</v>
      </c>
      <c r="AX12" s="182">
        <f ca="1">OFFSET(INDIRECT(VLOOKUP(VLOOKUP(clFiscalYear,rgPerpCal,10,TRUE),rgPerpMons,2,TRUE)),1,5)</f>
        <v>8</v>
      </c>
      <c r="AY12" s="182">
        <f ca="1">OFFSET(INDIRECT(VLOOKUP(VLOOKUP(clFiscalYear,rgPerpCal,10,TRUE),rgPerpMons,2,TRUE)),1,6)</f>
        <v>9</v>
      </c>
      <c r="AZ12" s="181">
        <f t="shared" si="30"/>
        <v>45172</v>
      </c>
      <c r="BA12" s="181">
        <f t="shared" si="30"/>
        <v>45173</v>
      </c>
      <c r="BB12" s="181">
        <f t="shared" si="30"/>
        <v>45174</v>
      </c>
      <c r="BC12" s="181">
        <f t="shared" si="30"/>
        <v>45175</v>
      </c>
      <c r="BD12" s="181">
        <f t="shared" si="30"/>
        <v>45176</v>
      </c>
      <c r="BE12" s="181">
        <f t="shared" si="30"/>
        <v>45177</v>
      </c>
      <c r="BF12" s="181">
        <f t="shared" si="30"/>
        <v>45178</v>
      </c>
      <c r="BG12" s="182" t="str">
        <f t="shared" si="23"/>
        <v>.3</v>
      </c>
      <c r="BH12" s="182" t="str">
        <f t="shared" si="24"/>
        <v>.4</v>
      </c>
      <c r="BI12" s="182" t="str">
        <f t="shared" si="8"/>
        <v>.5</v>
      </c>
      <c r="BJ12" s="182" t="str">
        <f t="shared" si="9"/>
        <v>.6</v>
      </c>
      <c r="BK12" s="182" t="str">
        <f t="shared" si="10"/>
        <v>.7</v>
      </c>
      <c r="BL12" s="182" t="str">
        <f t="shared" si="11"/>
        <v>.8</v>
      </c>
      <c r="BM12" s="182" t="str">
        <f t="shared" si="12"/>
        <v>.9</v>
      </c>
      <c r="BN12" s="218" t="str">
        <f t="shared" si="25"/>
        <v>.3</v>
      </c>
      <c r="BO12" s="218" t="str">
        <f t="shared" si="26"/>
        <v>.4</v>
      </c>
      <c r="BP12" s="218" t="str">
        <f t="shared" si="13"/>
        <v>.5</v>
      </c>
      <c r="BQ12" s="218" t="str">
        <f t="shared" si="14"/>
        <v>.6</v>
      </c>
      <c r="BR12" s="218" t="str">
        <f t="shared" si="15"/>
        <v>.7</v>
      </c>
      <c r="BS12" s="218" t="str">
        <f t="shared" si="16"/>
        <v>.8</v>
      </c>
      <c r="BT12" s="218" t="str">
        <f t="shared" si="17"/>
        <v>.9</v>
      </c>
      <c r="BU12" s="218" t="str">
        <f t="shared" si="27"/>
        <v>.3</v>
      </c>
      <c r="BV12" s="218" t="str">
        <f t="shared" si="28"/>
        <v>.4</v>
      </c>
      <c r="BW12" s="218" t="str">
        <f t="shared" si="18"/>
        <v>.5</v>
      </c>
      <c r="BX12" s="218" t="str">
        <f t="shared" si="19"/>
        <v>.6</v>
      </c>
      <c r="BY12" s="218" t="str">
        <f t="shared" si="20"/>
        <v>.7</v>
      </c>
      <c r="BZ12" s="218" t="str">
        <f t="shared" si="21"/>
        <v>.8</v>
      </c>
      <c r="CA12" s="218" t="str">
        <f t="shared" si="22"/>
        <v>.9</v>
      </c>
    </row>
    <row r="13" spans="6:79" ht="12.75">
      <c r="F13" s="191">
        <f>IF('Cal Info'!D16="","",DATEVALUE('Cal Info'!B16&amp;" "&amp;'Cal Info'!C16&amp;", "&amp;'Cal Info'!D16))</f>
      </c>
      <c r="G13" s="192">
        <f>IF('Cal Info'!F16="","",DATEVALUE('Cal Info'!E16&amp;" "&amp;'Cal Info'!F16&amp;", "&amp;'Cal Info'!G16))</f>
      </c>
      <c r="H13" s="193">
        <f>IF('Cal Info'!J16="","",DATEVALUE('Cal Info'!I16&amp;" "&amp;'Cal Info'!J16&amp;", "&amp;'Cal Info'!K16))</f>
      </c>
      <c r="J13" s="182">
        <f t="shared" si="0"/>
        <v>10</v>
      </c>
      <c r="K13" s="182">
        <f t="shared" si="1"/>
        <v>11</v>
      </c>
      <c r="L13" s="182">
        <f t="shared" si="2"/>
        <v>12</v>
      </c>
      <c r="M13" s="182">
        <f t="shared" si="3"/>
        <v>13</v>
      </c>
      <c r="N13" s="182">
        <f t="shared" si="4"/>
        <v>14</v>
      </c>
      <c r="O13" s="182">
        <f t="shared" si="5"/>
        <v>15</v>
      </c>
      <c r="P13" s="182">
        <f t="shared" si="6"/>
        <v>16</v>
      </c>
      <c r="Q13" s="182">
        <v>13</v>
      </c>
      <c r="R13" s="194">
        <v>14</v>
      </c>
      <c r="S13" s="182">
        <v>15</v>
      </c>
      <c r="T13" s="182">
        <v>16</v>
      </c>
      <c r="U13" s="182">
        <v>17</v>
      </c>
      <c r="V13" s="182">
        <v>18</v>
      </c>
      <c r="W13" s="182">
        <v>19</v>
      </c>
      <c r="X13" s="182">
        <v>13</v>
      </c>
      <c r="Y13" s="194">
        <v>14</v>
      </c>
      <c r="Z13" s="182">
        <v>15</v>
      </c>
      <c r="AA13" s="182">
        <v>16</v>
      </c>
      <c r="AB13" s="182">
        <v>17</v>
      </c>
      <c r="AC13" s="182">
        <v>18</v>
      </c>
      <c r="AD13" s="182">
        <v>19</v>
      </c>
      <c r="AE13" s="182">
        <v>13</v>
      </c>
      <c r="AF13" s="194">
        <v>14</v>
      </c>
      <c r="AG13" s="182">
        <v>15</v>
      </c>
      <c r="AH13" s="182">
        <v>16</v>
      </c>
      <c r="AI13" s="182">
        <v>17</v>
      </c>
      <c r="AJ13" s="182">
        <v>18</v>
      </c>
      <c r="AK13" s="182">
        <v>19</v>
      </c>
      <c r="AL13" s="182">
        <v>13</v>
      </c>
      <c r="AM13" s="194">
        <v>14</v>
      </c>
      <c r="AN13" s="182">
        <v>15</v>
      </c>
      <c r="AO13" s="182">
        <v>16</v>
      </c>
      <c r="AP13" s="182">
        <v>17</v>
      </c>
      <c r="AQ13" s="182">
        <v>18</v>
      </c>
      <c r="AR13" s="182">
        <v>19</v>
      </c>
      <c r="AS13" s="182">
        <f ca="1">OFFSET(INDIRECT(VLOOKUP(VLOOKUP(clFiscalYear,rgPerpCal,10,TRUE),rgPerpMons,2,TRUE)),2,0)</f>
        <v>10</v>
      </c>
      <c r="AT13" s="182">
        <f ca="1">OFFSET(INDIRECT(VLOOKUP(VLOOKUP(clFiscalYear,rgPerpCal,10,TRUE),rgPerpMons,2,TRUE)),2,1)</f>
        <v>11</v>
      </c>
      <c r="AU13" s="182">
        <f ca="1">OFFSET(INDIRECT(VLOOKUP(VLOOKUP(clFiscalYear,rgPerpCal,10,TRUE),rgPerpMons,2,TRUE)),2,2)</f>
        <v>12</v>
      </c>
      <c r="AV13" s="182">
        <f ca="1">OFFSET(INDIRECT(VLOOKUP(VLOOKUP(clFiscalYear,rgPerpCal,10,TRUE),rgPerpMons,2,TRUE)),2,3)</f>
        <v>13</v>
      </c>
      <c r="AW13" s="182">
        <f ca="1">OFFSET(INDIRECT(VLOOKUP(VLOOKUP(clFiscalYear,rgPerpCal,10,TRUE),rgPerpMons,2,TRUE)),2,4)</f>
        <v>14</v>
      </c>
      <c r="AX13" s="182">
        <f ca="1">OFFSET(INDIRECT(VLOOKUP(VLOOKUP(clFiscalYear,rgPerpCal,10,TRUE),rgPerpMons,2,TRUE)),2,5)</f>
        <v>15</v>
      </c>
      <c r="AY13" s="182">
        <f ca="1">OFFSET(INDIRECT(VLOOKUP(VLOOKUP(clFiscalYear,rgPerpCal,10,TRUE),rgPerpMons,2,TRUE)),2,6)</f>
        <v>16</v>
      </c>
      <c r="AZ13" s="181">
        <f t="shared" si="30"/>
        <v>45179</v>
      </c>
      <c r="BA13" s="181">
        <f t="shared" si="30"/>
        <v>45180</v>
      </c>
      <c r="BB13" s="181">
        <f t="shared" si="30"/>
        <v>45181</v>
      </c>
      <c r="BC13" s="181">
        <f t="shared" si="30"/>
        <v>45182</v>
      </c>
      <c r="BD13" s="181">
        <f t="shared" si="30"/>
        <v>45183</v>
      </c>
      <c r="BE13" s="181">
        <f t="shared" si="30"/>
        <v>45184</v>
      </c>
      <c r="BF13" s="181">
        <f t="shared" si="30"/>
        <v>45185</v>
      </c>
      <c r="BG13" s="182" t="str">
        <f t="shared" si="23"/>
        <v>.10</v>
      </c>
      <c r="BH13" s="182" t="str">
        <f t="shared" si="24"/>
        <v>.11</v>
      </c>
      <c r="BI13" s="182" t="str">
        <f t="shared" si="8"/>
        <v>.12</v>
      </c>
      <c r="BJ13" s="182" t="str">
        <f t="shared" si="9"/>
        <v>.13</v>
      </c>
      <c r="BK13" s="182" t="str">
        <f t="shared" si="10"/>
        <v>.14</v>
      </c>
      <c r="BL13" s="182" t="str">
        <f t="shared" si="11"/>
        <v>.15</v>
      </c>
      <c r="BM13" s="182" t="str">
        <f t="shared" si="12"/>
        <v>.16</v>
      </c>
      <c r="BN13" s="218" t="str">
        <f t="shared" si="25"/>
        <v>.10</v>
      </c>
      <c r="BO13" s="218" t="str">
        <f t="shared" si="26"/>
        <v>.11</v>
      </c>
      <c r="BP13" s="218" t="str">
        <f t="shared" si="13"/>
        <v>.12</v>
      </c>
      <c r="BQ13" s="218" t="str">
        <f t="shared" si="14"/>
        <v>.13</v>
      </c>
      <c r="BR13" s="218" t="str">
        <f t="shared" si="15"/>
        <v>.14</v>
      </c>
      <c r="BS13" s="218" t="str">
        <f t="shared" si="16"/>
        <v>.15</v>
      </c>
      <c r="BT13" s="218" t="str">
        <f t="shared" si="17"/>
        <v>.16</v>
      </c>
      <c r="BU13" s="218" t="str">
        <f t="shared" si="27"/>
        <v>.10</v>
      </c>
      <c r="BV13" s="218" t="str">
        <f t="shared" si="28"/>
        <v>.11</v>
      </c>
      <c r="BW13" s="218" t="str">
        <f t="shared" si="18"/>
        <v>.12</v>
      </c>
      <c r="BX13" s="218" t="str">
        <f t="shared" si="19"/>
        <v>.13</v>
      </c>
      <c r="BY13" s="218" t="str">
        <f t="shared" si="20"/>
        <v>.14</v>
      </c>
      <c r="BZ13" s="218" t="str">
        <f t="shared" si="21"/>
        <v>.15</v>
      </c>
      <c r="CA13" s="218" t="str">
        <f t="shared" si="22"/>
        <v>.16</v>
      </c>
    </row>
    <row r="14" spans="6:79" ht="12.75">
      <c r="F14" s="191">
        <f>IF('Cal Info'!D17="","",DATEVALUE('Cal Info'!B17&amp;" "&amp;'Cal Info'!C17&amp;", "&amp;'Cal Info'!D17))</f>
      </c>
      <c r="G14" s="192">
        <f>IF('Cal Info'!F17="","",DATEVALUE('Cal Info'!E17&amp;" "&amp;'Cal Info'!F17&amp;", "&amp;'Cal Info'!G17))</f>
      </c>
      <c r="H14" s="193">
        <f>IF('Cal Info'!J17="","",DATEVALUE('Cal Info'!I17&amp;" "&amp;'Cal Info'!J17&amp;", "&amp;'Cal Info'!K17))</f>
      </c>
      <c r="J14" s="182">
        <f t="shared" si="0"/>
        <v>17</v>
      </c>
      <c r="K14" s="182">
        <f t="shared" si="1"/>
        <v>18</v>
      </c>
      <c r="L14" s="182">
        <f t="shared" si="2"/>
        <v>19</v>
      </c>
      <c r="M14" s="182">
        <f t="shared" si="3"/>
        <v>20</v>
      </c>
      <c r="N14" s="182">
        <f t="shared" si="4"/>
        <v>21</v>
      </c>
      <c r="O14" s="182">
        <f t="shared" si="5"/>
        <v>22</v>
      </c>
      <c r="P14" s="182">
        <f t="shared" si="6"/>
        <v>23</v>
      </c>
      <c r="Q14" s="182">
        <v>20</v>
      </c>
      <c r="R14" s="182">
        <v>21</v>
      </c>
      <c r="S14" s="182">
        <v>22</v>
      </c>
      <c r="T14" s="194">
        <v>23</v>
      </c>
      <c r="U14" s="182">
        <v>24</v>
      </c>
      <c r="V14" s="182">
        <v>25</v>
      </c>
      <c r="W14" s="182">
        <v>26</v>
      </c>
      <c r="X14" s="182">
        <v>20</v>
      </c>
      <c r="Y14" s="182">
        <v>21</v>
      </c>
      <c r="Z14" s="182">
        <v>22</v>
      </c>
      <c r="AA14" s="194">
        <v>23</v>
      </c>
      <c r="AB14" s="182">
        <v>24</v>
      </c>
      <c r="AC14" s="182">
        <v>25</v>
      </c>
      <c r="AD14" s="182">
        <v>26</v>
      </c>
      <c r="AE14" s="182">
        <v>20</v>
      </c>
      <c r="AF14" s="182">
        <v>21</v>
      </c>
      <c r="AG14" s="182">
        <v>22</v>
      </c>
      <c r="AH14" s="194">
        <v>23</v>
      </c>
      <c r="AI14" s="182">
        <v>24</v>
      </c>
      <c r="AJ14" s="182">
        <v>25</v>
      </c>
      <c r="AK14" s="182">
        <v>26</v>
      </c>
      <c r="AL14" s="182">
        <v>20</v>
      </c>
      <c r="AM14" s="182">
        <v>21</v>
      </c>
      <c r="AN14" s="182">
        <v>22</v>
      </c>
      <c r="AO14" s="194">
        <v>23</v>
      </c>
      <c r="AP14" s="182">
        <v>24</v>
      </c>
      <c r="AQ14" s="182">
        <v>25</v>
      </c>
      <c r="AR14" s="182">
        <v>26</v>
      </c>
      <c r="AS14" s="182">
        <f ca="1">OFFSET(INDIRECT(VLOOKUP(VLOOKUP(clFiscalYear,rgPerpCal,10,TRUE),rgPerpMons,2,TRUE)),3,0)</f>
        <v>17</v>
      </c>
      <c r="AT14" s="182">
        <f ca="1">OFFSET(INDIRECT(VLOOKUP(VLOOKUP(clFiscalYear,rgPerpCal,10,TRUE),rgPerpMons,2,TRUE)),3,1)</f>
        <v>18</v>
      </c>
      <c r="AU14" s="182">
        <f ca="1">OFFSET(INDIRECT(VLOOKUP(VLOOKUP(clFiscalYear,rgPerpCal,10,TRUE),rgPerpMons,2,TRUE)),3,2)</f>
        <v>19</v>
      </c>
      <c r="AV14" s="182">
        <f ca="1">OFFSET(INDIRECT(VLOOKUP(VLOOKUP(clFiscalYear,rgPerpCal,10,TRUE),rgPerpMons,2,TRUE)),3,3)</f>
        <v>20</v>
      </c>
      <c r="AW14" s="182">
        <f ca="1">OFFSET(INDIRECT(VLOOKUP(VLOOKUP(clFiscalYear,rgPerpCal,10,TRUE),rgPerpMons,2,TRUE)),3,4)</f>
        <v>21</v>
      </c>
      <c r="AX14" s="182">
        <f ca="1">OFFSET(INDIRECT(VLOOKUP(VLOOKUP(clFiscalYear,rgPerpCal,10,TRUE),rgPerpMons,2,TRUE)),3,5)</f>
        <v>22</v>
      </c>
      <c r="AY14" s="182">
        <f ca="1">OFFSET(INDIRECT(VLOOKUP(VLOOKUP(clFiscalYear,rgPerpCal,10,TRUE),rgPerpMons,2,TRUE)),3,6)</f>
        <v>23</v>
      </c>
      <c r="AZ14" s="181">
        <f t="shared" si="30"/>
        <v>45186</v>
      </c>
      <c r="BA14" s="181">
        <f t="shared" si="30"/>
        <v>45187</v>
      </c>
      <c r="BB14" s="181">
        <f t="shared" si="30"/>
        <v>45188</v>
      </c>
      <c r="BC14" s="181">
        <f t="shared" si="30"/>
        <v>45189</v>
      </c>
      <c r="BD14" s="181">
        <f t="shared" si="30"/>
        <v>45190</v>
      </c>
      <c r="BE14" s="181">
        <f t="shared" si="30"/>
        <v>45191</v>
      </c>
      <c r="BF14" s="181">
        <f t="shared" si="30"/>
        <v>45192</v>
      </c>
      <c r="BG14" s="182" t="str">
        <f t="shared" si="23"/>
        <v>.17</v>
      </c>
      <c r="BH14" s="182" t="str">
        <f t="shared" si="24"/>
        <v>.18</v>
      </c>
      <c r="BI14" s="182" t="str">
        <f t="shared" si="8"/>
        <v>.19</v>
      </c>
      <c r="BJ14" s="182" t="str">
        <f t="shared" si="9"/>
        <v>.20</v>
      </c>
      <c r="BK14" s="182" t="str">
        <f t="shared" si="10"/>
        <v>.21</v>
      </c>
      <c r="BL14" s="182" t="str">
        <f t="shared" si="11"/>
        <v>.22</v>
      </c>
      <c r="BM14" s="182" t="str">
        <f t="shared" si="12"/>
        <v>.23</v>
      </c>
      <c r="BN14" s="218" t="str">
        <f t="shared" si="25"/>
        <v>.17</v>
      </c>
      <c r="BO14" s="218" t="str">
        <f t="shared" si="26"/>
        <v>.18</v>
      </c>
      <c r="BP14" s="218" t="str">
        <f t="shared" si="13"/>
        <v>.19</v>
      </c>
      <c r="BQ14" s="218" t="str">
        <f t="shared" si="14"/>
        <v>.20</v>
      </c>
      <c r="BR14" s="218" t="str">
        <f t="shared" si="15"/>
        <v>.21</v>
      </c>
      <c r="BS14" s="218" t="str">
        <f t="shared" si="16"/>
        <v>.22</v>
      </c>
      <c r="BT14" s="218" t="str">
        <f t="shared" si="17"/>
        <v>.23</v>
      </c>
      <c r="BU14" s="218" t="str">
        <f t="shared" si="27"/>
        <v>.17</v>
      </c>
      <c r="BV14" s="218" t="str">
        <f t="shared" si="28"/>
        <v>.18</v>
      </c>
      <c r="BW14" s="218" t="str">
        <f t="shared" si="18"/>
        <v>.19</v>
      </c>
      <c r="BX14" s="218" t="str">
        <f t="shared" si="19"/>
        <v>.20</v>
      </c>
      <c r="BY14" s="218" t="str">
        <f t="shared" si="20"/>
        <v>.21</v>
      </c>
      <c r="BZ14" s="218" t="str">
        <f t="shared" si="21"/>
        <v>.22</v>
      </c>
      <c r="CA14" s="218" t="str">
        <f t="shared" si="22"/>
        <v>.23</v>
      </c>
    </row>
    <row r="15" spans="6:79" ht="12.75">
      <c r="F15" s="191">
        <f>IF('Cal Info'!D18="","",DATEVALUE('Cal Info'!B18&amp;" "&amp;'Cal Info'!C18&amp;", "&amp;'Cal Info'!D18))</f>
      </c>
      <c r="G15" s="192">
        <f>IF('Cal Info'!F18="","",DATEVALUE('Cal Info'!E18&amp;" "&amp;'Cal Info'!F18&amp;", "&amp;'Cal Info'!G18))</f>
      </c>
      <c r="H15" s="193">
        <f>IF('Cal Info'!J18="","",DATEVALUE('Cal Info'!I18&amp;" "&amp;'Cal Info'!J18&amp;", "&amp;'Cal Info'!K18))</f>
      </c>
      <c r="J15" s="182">
        <f t="shared" si="0"/>
        <v>24</v>
      </c>
      <c r="K15" s="182">
        <f t="shared" si="1"/>
        <v>25</v>
      </c>
      <c r="L15" s="182">
        <f t="shared" si="2"/>
        <v>26</v>
      </c>
      <c r="M15" s="182">
        <f t="shared" si="3"/>
        <v>27</v>
      </c>
      <c r="N15" s="182">
        <f t="shared" si="4"/>
        <v>28</v>
      </c>
      <c r="O15" s="182">
        <f t="shared" si="5"/>
        <v>29</v>
      </c>
      <c r="P15" s="182">
        <f t="shared" si="6"/>
        <v>30</v>
      </c>
      <c r="Q15" s="182">
        <v>27</v>
      </c>
      <c r="R15" s="197">
        <v>28</v>
      </c>
      <c r="S15" s="182">
        <v>29</v>
      </c>
      <c r="T15" s="182">
        <v>30</v>
      </c>
      <c r="U15" s="182">
        <v>31</v>
      </c>
      <c r="V15" s="182"/>
      <c r="W15" s="182"/>
      <c r="X15" s="182">
        <v>27</v>
      </c>
      <c r="Y15" s="197">
        <v>28</v>
      </c>
      <c r="Z15" s="182">
        <v>29</v>
      </c>
      <c r="AA15" s="182">
        <v>30</v>
      </c>
      <c r="AB15" s="182"/>
      <c r="AC15" s="182"/>
      <c r="AD15" s="182"/>
      <c r="AE15" s="182">
        <v>27</v>
      </c>
      <c r="AF15" s="197">
        <v>28</v>
      </c>
      <c r="AG15" s="182"/>
      <c r="AH15" s="182"/>
      <c r="AI15" s="182"/>
      <c r="AJ15" s="182"/>
      <c r="AK15" s="182"/>
      <c r="AL15" s="182">
        <v>27</v>
      </c>
      <c r="AM15" s="197">
        <v>28</v>
      </c>
      <c r="AN15" s="182">
        <v>29</v>
      </c>
      <c r="AO15" s="182"/>
      <c r="AP15" s="182"/>
      <c r="AQ15" s="182"/>
      <c r="AR15" s="182"/>
      <c r="AS15" s="182">
        <f ca="1">OFFSET(INDIRECT(VLOOKUP(VLOOKUP(clFiscalYear,rgPerpCal,10,TRUE),rgPerpMons,2,TRUE)),4,0)</f>
        <v>24</v>
      </c>
      <c r="AT15" s="182">
        <f ca="1">OFFSET(INDIRECT(VLOOKUP(VLOOKUP(clFiscalYear,rgPerpCal,10,TRUE),rgPerpMons,2,TRUE)),4,1)</f>
        <v>25</v>
      </c>
      <c r="AU15" s="182">
        <f ca="1">OFFSET(INDIRECT(VLOOKUP(VLOOKUP(clFiscalYear,rgPerpCal,10,TRUE),rgPerpMons,2,TRUE)),4,2)</f>
        <v>26</v>
      </c>
      <c r="AV15" s="182">
        <f ca="1">OFFSET(INDIRECT(VLOOKUP(VLOOKUP(clFiscalYear,rgPerpCal,10,TRUE),rgPerpMons,2,TRUE)),4,3)</f>
        <v>27</v>
      </c>
      <c r="AW15" s="182">
        <f ca="1">OFFSET(INDIRECT(VLOOKUP(VLOOKUP(clFiscalYear,rgPerpCal,10,TRUE),rgPerpMons,2,TRUE)),4,4)</f>
        <v>28</v>
      </c>
      <c r="AX15" s="182">
        <f ca="1">OFFSET(INDIRECT(VLOOKUP(VLOOKUP(clFiscalYear,rgPerpCal,10,TRUE),rgPerpMons,2,TRUE)),4,5)</f>
        <v>29</v>
      </c>
      <c r="AY15" s="182">
        <f ca="1">OFFSET(INDIRECT(VLOOKUP(VLOOKUP(clFiscalYear,rgPerpCal,10,TRUE),rgPerpMons,2,TRUE)),4,6)</f>
        <v>30</v>
      </c>
      <c r="AZ15" s="181">
        <f t="shared" si="30"/>
        <v>45193</v>
      </c>
      <c r="BA15" s="181">
        <f t="shared" si="30"/>
        <v>45194</v>
      </c>
      <c r="BB15" s="181">
        <f t="shared" si="30"/>
        <v>45195</v>
      </c>
      <c r="BC15" s="181">
        <f t="shared" si="30"/>
        <v>45196</v>
      </c>
      <c r="BD15" s="181">
        <f t="shared" si="30"/>
        <v>45197</v>
      </c>
      <c r="BE15" s="181">
        <f t="shared" si="30"/>
        <v>45198</v>
      </c>
      <c r="BF15" s="181">
        <f t="shared" si="30"/>
        <v>45199</v>
      </c>
      <c r="BG15" s="182" t="str">
        <f t="shared" si="23"/>
        <v>.24</v>
      </c>
      <c r="BH15" s="182" t="str">
        <f t="shared" si="24"/>
        <v>.25</v>
      </c>
      <c r="BI15" s="182" t="str">
        <f t="shared" si="8"/>
        <v>.26</v>
      </c>
      <c r="BJ15" s="182" t="str">
        <f t="shared" si="9"/>
        <v>.27</v>
      </c>
      <c r="BK15" s="182" t="str">
        <f t="shared" si="10"/>
        <v>.28</v>
      </c>
      <c r="BL15" s="182" t="str">
        <f t="shared" si="11"/>
        <v>.29</v>
      </c>
      <c r="BM15" s="182" t="str">
        <f t="shared" si="12"/>
        <v>.30</v>
      </c>
      <c r="BN15" s="218" t="str">
        <f t="shared" si="25"/>
        <v>.24</v>
      </c>
      <c r="BO15" s="218" t="str">
        <f t="shared" si="26"/>
        <v>.25</v>
      </c>
      <c r="BP15" s="218" t="str">
        <f t="shared" si="13"/>
        <v>.26</v>
      </c>
      <c r="BQ15" s="218" t="str">
        <f t="shared" si="14"/>
        <v>.27</v>
      </c>
      <c r="BR15" s="218" t="str">
        <f t="shared" si="15"/>
        <v>.28</v>
      </c>
      <c r="BS15" s="218" t="str">
        <f t="shared" si="16"/>
        <v>.29</v>
      </c>
      <c r="BT15" s="218" t="str">
        <f t="shared" si="17"/>
        <v>.30</v>
      </c>
      <c r="BU15" s="218" t="str">
        <f t="shared" si="27"/>
        <v>.24</v>
      </c>
      <c r="BV15" s="218" t="str">
        <f t="shared" si="28"/>
        <v>.25</v>
      </c>
      <c r="BW15" s="218" t="str">
        <f t="shared" si="18"/>
        <v>.26</v>
      </c>
      <c r="BX15" s="218" t="str">
        <f t="shared" si="19"/>
        <v>.27</v>
      </c>
      <c r="BY15" s="218" t="str">
        <f t="shared" si="20"/>
        <v>.28</v>
      </c>
      <c r="BZ15" s="218" t="str">
        <f t="shared" si="21"/>
        <v>.29</v>
      </c>
      <c r="CA15" s="218" t="str">
        <f t="shared" si="22"/>
        <v>.30</v>
      </c>
    </row>
    <row r="16" spans="6:79" ht="12.75">
      <c r="F16" s="191">
        <f>IF('Cal Info'!D19="","",DATEVALUE('Cal Info'!B19&amp;" "&amp;'Cal Info'!C19&amp;", "&amp;'Cal Info'!D19))</f>
      </c>
      <c r="G16" s="192">
        <f>IF('Cal Info'!F19="","",DATEVALUE('Cal Info'!E19&amp;" "&amp;'Cal Info'!F19&amp;", "&amp;'Cal Info'!G19))</f>
      </c>
      <c r="H16" s="193">
        <f>IF('Cal Info'!J19="","",DATEVALUE('Cal Info'!I19&amp;" "&amp;'Cal Info'!J19&amp;", "&amp;'Cal Info'!K19))</f>
      </c>
      <c r="J16" s="182">
        <f t="shared" si="0"/>
        <v>1</v>
      </c>
      <c r="K16" s="182">
        <f t="shared" si="1"/>
        <v>2</v>
      </c>
      <c r="L16" s="182">
        <f t="shared" si="2"/>
        <v>3</v>
      </c>
      <c r="M16" s="182">
        <f t="shared" si="3"/>
        <v>4</v>
      </c>
      <c r="N16" s="182">
        <f t="shared" si="4"/>
        <v>5</v>
      </c>
      <c r="O16" s="182">
        <f t="shared" si="5"/>
        <v>6</v>
      </c>
      <c r="P16" s="182">
        <f t="shared" si="6"/>
        <v>7</v>
      </c>
      <c r="Q16" s="182"/>
      <c r="R16" s="182"/>
      <c r="S16" s="182"/>
      <c r="T16" s="182">
        <v>1</v>
      </c>
      <c r="U16" s="182">
        <v>2</v>
      </c>
      <c r="V16" s="182">
        <v>3</v>
      </c>
      <c r="W16" s="182">
        <v>4</v>
      </c>
      <c r="X16" s="182"/>
      <c r="Y16" s="182"/>
      <c r="Z16" s="182"/>
      <c r="AA16" s="182">
        <v>1</v>
      </c>
      <c r="AB16" s="182">
        <v>2</v>
      </c>
      <c r="AC16" s="182">
        <v>3</v>
      </c>
      <c r="AD16" s="182">
        <v>4</v>
      </c>
      <c r="AE16" s="182"/>
      <c r="AF16" s="182"/>
      <c r="AG16" s="182"/>
      <c r="AH16" s="182">
        <v>1</v>
      </c>
      <c r="AI16" s="182">
        <v>2</v>
      </c>
      <c r="AJ16" s="182">
        <v>3</v>
      </c>
      <c r="AK16" s="182">
        <v>4</v>
      </c>
      <c r="AL16" s="182"/>
      <c r="AM16" s="182"/>
      <c r="AN16" s="182"/>
      <c r="AO16" s="182">
        <v>1</v>
      </c>
      <c r="AP16" s="182">
        <v>2</v>
      </c>
      <c r="AQ16" s="182">
        <v>3</v>
      </c>
      <c r="AR16" s="182">
        <v>4</v>
      </c>
      <c r="AS16" s="182">
        <f ca="1">OFFSET(INDIRECT(VLOOKUP(VLOOKUP(clFiscalYear,rgPerpCal,11,TRUE),rgPerpMons,2,TRUE)),0,0)</f>
        <v>1</v>
      </c>
      <c r="AT16" s="182">
        <f ca="1">OFFSET(INDIRECT(VLOOKUP(VLOOKUP(clFiscalYear,rgPerpCal,11,TRUE),rgPerpMons,2,TRUE)),0,1)</f>
        <v>2</v>
      </c>
      <c r="AU16" s="182">
        <f ca="1">OFFSET(INDIRECT(VLOOKUP(VLOOKUP(clFiscalYear,rgPerpCal,11,TRUE),rgPerpMons,2,TRUE)),0,2)</f>
        <v>3</v>
      </c>
      <c r="AV16" s="182">
        <f ca="1">OFFSET(INDIRECT(VLOOKUP(VLOOKUP(clFiscalYear,rgPerpCal,11,TRUE),rgPerpMons,2,TRUE)),0,3)</f>
        <v>4</v>
      </c>
      <c r="AW16" s="182">
        <f ca="1">OFFSET(INDIRECT(VLOOKUP(VLOOKUP(clFiscalYear,rgPerpCal,11,TRUE),rgPerpMons,2,TRUE)),0,4)</f>
        <v>5</v>
      </c>
      <c r="AX16" s="182">
        <f ca="1">OFFSET(INDIRECT(VLOOKUP(VLOOKUP(clFiscalYear,rgPerpCal,11,TRUE),rgPerpMons,2,TRUE)),0,5)</f>
        <v>6</v>
      </c>
      <c r="AY16" s="182">
        <f ca="1">OFFSET(INDIRECT(VLOOKUP(VLOOKUP(clFiscalYear,rgPerpCal,11,TRUE),rgPerpMons,2,TRUE)),0,6)</f>
        <v>7</v>
      </c>
      <c r="AZ16" s="181">
        <f aca="true" t="shared" si="31" ref="AZ16:BF20">IF(AS16&lt;&gt;0,DATEVALUE(AS16&amp;" October "&amp;clFiscalYear-1),0)</f>
        <v>45200</v>
      </c>
      <c r="BA16" s="181">
        <f t="shared" si="31"/>
        <v>45201</v>
      </c>
      <c r="BB16" s="181">
        <f t="shared" si="31"/>
        <v>45202</v>
      </c>
      <c r="BC16" s="181">
        <f t="shared" si="31"/>
        <v>45203</v>
      </c>
      <c r="BD16" s="181">
        <f t="shared" si="31"/>
        <v>45204</v>
      </c>
      <c r="BE16" s="181">
        <f t="shared" si="31"/>
        <v>45205</v>
      </c>
      <c r="BF16" s="181">
        <f t="shared" si="31"/>
        <v>45206</v>
      </c>
      <c r="BG16" s="182" t="str">
        <f t="shared" si="23"/>
        <v>.1</v>
      </c>
      <c r="BH16" s="182" t="str">
        <f t="shared" si="24"/>
        <v>.2</v>
      </c>
      <c r="BI16" s="182" t="str">
        <f t="shared" si="8"/>
        <v>.3</v>
      </c>
      <c r="BJ16" s="182" t="str">
        <f t="shared" si="9"/>
        <v>.4</v>
      </c>
      <c r="BK16" s="182" t="str">
        <f t="shared" si="10"/>
        <v>.5</v>
      </c>
      <c r="BL16" s="182" t="str">
        <f t="shared" si="11"/>
        <v>.6</v>
      </c>
      <c r="BM16" s="182" t="str">
        <f t="shared" si="12"/>
        <v>.7</v>
      </c>
      <c r="BN16" s="218" t="str">
        <f t="shared" si="25"/>
        <v>.1</v>
      </c>
      <c r="BO16" s="218" t="str">
        <f t="shared" si="26"/>
        <v>.2</v>
      </c>
      <c r="BP16" s="218" t="str">
        <f t="shared" si="13"/>
        <v>.3</v>
      </c>
      <c r="BQ16" s="218" t="str">
        <f t="shared" si="14"/>
        <v>.4</v>
      </c>
      <c r="BR16" s="218" t="str">
        <f t="shared" si="15"/>
        <v>.5</v>
      </c>
      <c r="BS16" s="218" t="str">
        <f t="shared" si="16"/>
        <v>.6</v>
      </c>
      <c r="BT16" s="218" t="str">
        <f t="shared" si="17"/>
        <v>.7</v>
      </c>
      <c r="BU16" s="218" t="str">
        <f t="shared" si="27"/>
        <v>.1</v>
      </c>
      <c r="BV16" s="218" t="str">
        <f t="shared" si="28"/>
        <v>.2</v>
      </c>
      <c r="BW16" s="218" t="str">
        <f t="shared" si="18"/>
        <v>.3</v>
      </c>
      <c r="BX16" s="218" t="str">
        <f t="shared" si="19"/>
        <v>.4</v>
      </c>
      <c r="BY16" s="218" t="str">
        <f t="shared" si="20"/>
        <v>.5</v>
      </c>
      <c r="BZ16" s="218" t="str">
        <f t="shared" si="21"/>
        <v>.6</v>
      </c>
      <c r="CA16" s="218" t="str">
        <f t="shared" si="22"/>
        <v>.7</v>
      </c>
    </row>
    <row r="17" spans="6:79" ht="12.75">
      <c r="F17" s="191">
        <f>IF('Cal Info'!D20="","",DATEVALUE('Cal Info'!B20&amp;" "&amp;'Cal Info'!C20&amp;", "&amp;'Cal Info'!D20))</f>
      </c>
      <c r="G17" s="192">
        <f>IF('Cal Info'!F20="","",DATEVALUE('Cal Info'!E20&amp;" "&amp;'Cal Info'!F20&amp;", "&amp;'Cal Info'!G20))</f>
      </c>
      <c r="H17" s="193">
        <f>IF('Cal Info'!J20="","",DATEVALUE('Cal Info'!I20&amp;" "&amp;'Cal Info'!J20&amp;", "&amp;'Cal Info'!K20))</f>
      </c>
      <c r="J17" s="182">
        <f t="shared" si="0"/>
        <v>8</v>
      </c>
      <c r="K17" s="182">
        <f t="shared" si="1"/>
        <v>9</v>
      </c>
      <c r="L17" s="182">
        <f t="shared" si="2"/>
        <v>10</v>
      </c>
      <c r="M17" s="182">
        <f t="shared" si="3"/>
        <v>11</v>
      </c>
      <c r="N17" s="182">
        <f t="shared" si="4"/>
        <v>12</v>
      </c>
      <c r="O17" s="182">
        <f t="shared" si="5"/>
        <v>13</v>
      </c>
      <c r="P17" s="182">
        <f t="shared" si="6"/>
        <v>14</v>
      </c>
      <c r="Q17" s="182">
        <v>5</v>
      </c>
      <c r="R17" s="182">
        <v>6</v>
      </c>
      <c r="S17" s="182">
        <v>7</v>
      </c>
      <c r="T17" s="182">
        <v>8</v>
      </c>
      <c r="U17" s="182">
        <v>9</v>
      </c>
      <c r="V17" s="189">
        <v>10</v>
      </c>
      <c r="W17" s="182">
        <v>11</v>
      </c>
      <c r="X17" s="182">
        <v>5</v>
      </c>
      <c r="Y17" s="182">
        <v>6</v>
      </c>
      <c r="Z17" s="182">
        <v>7</v>
      </c>
      <c r="AA17" s="182">
        <v>8</v>
      </c>
      <c r="AB17" s="182">
        <v>9</v>
      </c>
      <c r="AC17" s="189">
        <v>10</v>
      </c>
      <c r="AD17" s="182">
        <v>11</v>
      </c>
      <c r="AE17" s="182">
        <v>5</v>
      </c>
      <c r="AF17" s="182">
        <v>6</v>
      </c>
      <c r="AG17" s="182">
        <v>7</v>
      </c>
      <c r="AH17" s="182">
        <v>8</v>
      </c>
      <c r="AI17" s="182">
        <v>9</v>
      </c>
      <c r="AJ17" s="189">
        <v>10</v>
      </c>
      <c r="AK17" s="182">
        <v>11</v>
      </c>
      <c r="AL17" s="182">
        <v>5</v>
      </c>
      <c r="AM17" s="182">
        <v>6</v>
      </c>
      <c r="AN17" s="182">
        <v>7</v>
      </c>
      <c r="AO17" s="182">
        <v>8</v>
      </c>
      <c r="AP17" s="182">
        <v>9</v>
      </c>
      <c r="AQ17" s="189">
        <v>10</v>
      </c>
      <c r="AR17" s="182">
        <v>11</v>
      </c>
      <c r="AS17" s="182">
        <f ca="1">OFFSET(INDIRECT(VLOOKUP(VLOOKUP(clFiscalYear,rgPerpCal,11,TRUE),rgPerpMons,2,TRUE)),1,0)</f>
        <v>8</v>
      </c>
      <c r="AT17" s="182">
        <f ca="1">OFFSET(INDIRECT(VLOOKUP(VLOOKUP(clFiscalYear,rgPerpCal,11,TRUE),rgPerpMons,2,TRUE)),1,1)</f>
        <v>9</v>
      </c>
      <c r="AU17" s="182">
        <f ca="1">OFFSET(INDIRECT(VLOOKUP(VLOOKUP(clFiscalYear,rgPerpCal,11,TRUE),rgPerpMons,2,TRUE)),1,2)</f>
        <v>10</v>
      </c>
      <c r="AV17" s="182">
        <f ca="1">OFFSET(INDIRECT(VLOOKUP(VLOOKUP(clFiscalYear,rgPerpCal,11,TRUE),rgPerpMons,2,TRUE)),1,3)</f>
        <v>11</v>
      </c>
      <c r="AW17" s="182">
        <f ca="1">OFFSET(INDIRECT(VLOOKUP(VLOOKUP(clFiscalYear,rgPerpCal,11,TRUE),rgPerpMons,2,TRUE)),1,4)</f>
        <v>12</v>
      </c>
      <c r="AX17" s="182">
        <f ca="1">OFFSET(INDIRECT(VLOOKUP(VLOOKUP(clFiscalYear,rgPerpCal,11,TRUE),rgPerpMons,2,TRUE)),1,5)</f>
        <v>13</v>
      </c>
      <c r="AY17" s="182">
        <f ca="1">OFFSET(INDIRECT(VLOOKUP(VLOOKUP(clFiscalYear,rgPerpCal,11,TRUE),rgPerpMons,2,TRUE)),1,6)</f>
        <v>14</v>
      </c>
      <c r="AZ17" s="181">
        <f t="shared" si="31"/>
        <v>45207</v>
      </c>
      <c r="BA17" s="181">
        <f t="shared" si="31"/>
        <v>45208</v>
      </c>
      <c r="BB17" s="181">
        <f t="shared" si="31"/>
        <v>45209</v>
      </c>
      <c r="BC17" s="181">
        <f t="shared" si="31"/>
        <v>45210</v>
      </c>
      <c r="BD17" s="181">
        <f t="shared" si="31"/>
        <v>45211</v>
      </c>
      <c r="BE17" s="181">
        <f t="shared" si="31"/>
        <v>45212</v>
      </c>
      <c r="BF17" s="181">
        <f t="shared" si="31"/>
        <v>45213</v>
      </c>
      <c r="BG17" s="182" t="str">
        <f t="shared" si="23"/>
        <v>.8</v>
      </c>
      <c r="BH17" s="182" t="str">
        <f t="shared" si="24"/>
        <v>.9</v>
      </c>
      <c r="BI17" s="182" t="str">
        <f t="shared" si="8"/>
        <v>.10</v>
      </c>
      <c r="BJ17" s="182" t="str">
        <f t="shared" si="9"/>
        <v>.11</v>
      </c>
      <c r="BK17" s="182" t="str">
        <f t="shared" si="10"/>
        <v>.12</v>
      </c>
      <c r="BL17" s="182" t="str">
        <f t="shared" si="11"/>
        <v>.13</v>
      </c>
      <c r="BM17" s="182" t="str">
        <f t="shared" si="12"/>
        <v>.14</v>
      </c>
      <c r="BN17" s="218" t="str">
        <f t="shared" si="25"/>
        <v>.8</v>
      </c>
      <c r="BO17" s="218" t="str">
        <f t="shared" si="26"/>
        <v>.9</v>
      </c>
      <c r="BP17" s="218" t="str">
        <f t="shared" si="13"/>
        <v>.10</v>
      </c>
      <c r="BQ17" s="218" t="str">
        <f t="shared" si="14"/>
        <v>.11</v>
      </c>
      <c r="BR17" s="218" t="str">
        <f t="shared" si="15"/>
        <v>.12</v>
      </c>
      <c r="BS17" s="218" t="str">
        <f t="shared" si="16"/>
        <v>.13</v>
      </c>
      <c r="BT17" s="218" t="str">
        <f t="shared" si="17"/>
        <v>.14</v>
      </c>
      <c r="BU17" s="218" t="str">
        <f t="shared" si="27"/>
        <v>.8</v>
      </c>
      <c r="BV17" s="218" t="str">
        <f t="shared" si="28"/>
        <v>.9</v>
      </c>
      <c r="BW17" s="218" t="str">
        <f t="shared" si="18"/>
        <v>.10</v>
      </c>
      <c r="BX17" s="218" t="str">
        <f t="shared" si="19"/>
        <v>.11</v>
      </c>
      <c r="BY17" s="218" t="str">
        <f t="shared" si="20"/>
        <v>.12</v>
      </c>
      <c r="BZ17" s="218" t="str">
        <f t="shared" si="21"/>
        <v>.13</v>
      </c>
      <c r="CA17" s="218" t="str">
        <f t="shared" si="22"/>
        <v>.14</v>
      </c>
    </row>
    <row r="18" spans="6:79" ht="12.75">
      <c r="F18" s="191">
        <f>IF('Cal Info'!D21="","",DATEVALUE('Cal Info'!B21&amp;" "&amp;'Cal Info'!C21&amp;", "&amp;'Cal Info'!D21))</f>
      </c>
      <c r="G18" s="192">
        <f>IF('Cal Info'!F21="","",DATEVALUE('Cal Info'!E21&amp;" "&amp;'Cal Info'!F21&amp;", "&amp;'Cal Info'!G21))</f>
      </c>
      <c r="H18" s="193">
        <f>IF('Cal Info'!J21="","",DATEVALUE('Cal Info'!I21&amp;" "&amp;'Cal Info'!J21&amp;", "&amp;'Cal Info'!K21))</f>
      </c>
      <c r="J18" s="182">
        <f t="shared" si="0"/>
        <v>15</v>
      </c>
      <c r="K18" s="182">
        <f t="shared" si="1"/>
        <v>16</v>
      </c>
      <c r="L18" s="182">
        <f t="shared" si="2"/>
        <v>17</v>
      </c>
      <c r="M18" s="182">
        <f t="shared" si="3"/>
        <v>18</v>
      </c>
      <c r="N18" s="182">
        <f t="shared" si="4"/>
        <v>19</v>
      </c>
      <c r="O18" s="182">
        <f t="shared" si="5"/>
        <v>20</v>
      </c>
      <c r="P18" s="182">
        <f t="shared" si="6"/>
        <v>21</v>
      </c>
      <c r="Q18" s="182">
        <v>12</v>
      </c>
      <c r="R18" s="194">
        <v>13</v>
      </c>
      <c r="S18" s="182">
        <v>14</v>
      </c>
      <c r="T18" s="182">
        <v>15</v>
      </c>
      <c r="U18" s="182">
        <v>16</v>
      </c>
      <c r="V18" s="182">
        <v>17</v>
      </c>
      <c r="W18" s="182">
        <v>18</v>
      </c>
      <c r="X18" s="182">
        <v>12</v>
      </c>
      <c r="Y18" s="194">
        <v>13</v>
      </c>
      <c r="Z18" s="182">
        <v>14</v>
      </c>
      <c r="AA18" s="182">
        <v>15</v>
      </c>
      <c r="AB18" s="182">
        <v>16</v>
      </c>
      <c r="AC18" s="182">
        <v>17</v>
      </c>
      <c r="AD18" s="182">
        <v>18</v>
      </c>
      <c r="AE18" s="182">
        <v>12</v>
      </c>
      <c r="AF18" s="194">
        <v>13</v>
      </c>
      <c r="AG18" s="182">
        <v>14</v>
      </c>
      <c r="AH18" s="182">
        <v>15</v>
      </c>
      <c r="AI18" s="182">
        <v>16</v>
      </c>
      <c r="AJ18" s="182">
        <v>17</v>
      </c>
      <c r="AK18" s="182">
        <v>18</v>
      </c>
      <c r="AL18" s="182">
        <v>12</v>
      </c>
      <c r="AM18" s="194">
        <v>13</v>
      </c>
      <c r="AN18" s="182">
        <v>14</v>
      </c>
      <c r="AO18" s="182">
        <v>15</v>
      </c>
      <c r="AP18" s="182">
        <v>16</v>
      </c>
      <c r="AQ18" s="182">
        <v>17</v>
      </c>
      <c r="AR18" s="182">
        <v>18</v>
      </c>
      <c r="AS18" s="182">
        <f ca="1">OFFSET(INDIRECT(VLOOKUP(VLOOKUP(clFiscalYear,rgPerpCal,11,TRUE),rgPerpMons,2,TRUE)),2,0)</f>
        <v>15</v>
      </c>
      <c r="AT18" s="182">
        <f ca="1">OFFSET(INDIRECT(VLOOKUP(VLOOKUP(clFiscalYear,rgPerpCal,11,TRUE),rgPerpMons,2,TRUE)),2,1)</f>
        <v>16</v>
      </c>
      <c r="AU18" s="182">
        <f ca="1">OFFSET(INDIRECT(VLOOKUP(VLOOKUP(clFiscalYear,rgPerpCal,11,TRUE),rgPerpMons,2,TRUE)),2,2)</f>
        <v>17</v>
      </c>
      <c r="AV18" s="182">
        <f ca="1">OFFSET(INDIRECT(VLOOKUP(VLOOKUP(clFiscalYear,rgPerpCal,11,TRUE),rgPerpMons,2,TRUE)),2,3)</f>
        <v>18</v>
      </c>
      <c r="AW18" s="182">
        <f ca="1">OFFSET(INDIRECT(VLOOKUP(VLOOKUP(clFiscalYear,rgPerpCal,11,TRUE),rgPerpMons,2,TRUE)),2,4)</f>
        <v>19</v>
      </c>
      <c r="AX18" s="182">
        <f ca="1">OFFSET(INDIRECT(VLOOKUP(VLOOKUP(clFiscalYear,rgPerpCal,11,TRUE),rgPerpMons,2,TRUE)),2,5)</f>
        <v>20</v>
      </c>
      <c r="AY18" s="182">
        <f ca="1">OFFSET(INDIRECT(VLOOKUP(VLOOKUP(clFiscalYear,rgPerpCal,11,TRUE),rgPerpMons,2,TRUE)),2,6)</f>
        <v>21</v>
      </c>
      <c r="AZ18" s="181">
        <f t="shared" si="31"/>
        <v>45214</v>
      </c>
      <c r="BA18" s="181">
        <f t="shared" si="31"/>
        <v>45215</v>
      </c>
      <c r="BB18" s="181">
        <f t="shared" si="31"/>
        <v>45216</v>
      </c>
      <c r="BC18" s="181">
        <f t="shared" si="31"/>
        <v>45217</v>
      </c>
      <c r="BD18" s="181">
        <f t="shared" si="31"/>
        <v>45218</v>
      </c>
      <c r="BE18" s="181">
        <f t="shared" si="31"/>
        <v>45219</v>
      </c>
      <c r="BF18" s="181">
        <f t="shared" si="31"/>
        <v>45220</v>
      </c>
      <c r="BG18" s="182" t="str">
        <f t="shared" si="23"/>
        <v>.15</v>
      </c>
      <c r="BH18" s="182" t="str">
        <f t="shared" si="24"/>
        <v>.16</v>
      </c>
      <c r="BI18" s="182" t="str">
        <f t="shared" si="8"/>
        <v>.17</v>
      </c>
      <c r="BJ18" s="182" t="str">
        <f t="shared" si="9"/>
        <v>.18</v>
      </c>
      <c r="BK18" s="182" t="str">
        <f t="shared" si="10"/>
        <v>.19</v>
      </c>
      <c r="BL18" s="182" t="str">
        <f t="shared" si="11"/>
        <v>.20</v>
      </c>
      <c r="BM18" s="182" t="str">
        <f t="shared" si="12"/>
        <v>.21</v>
      </c>
      <c r="BN18" s="218" t="str">
        <f t="shared" si="25"/>
        <v>.15</v>
      </c>
      <c r="BO18" s="218" t="str">
        <f t="shared" si="26"/>
        <v>.16</v>
      </c>
      <c r="BP18" s="218" t="str">
        <f t="shared" si="13"/>
        <v>.17</v>
      </c>
      <c r="BQ18" s="218" t="str">
        <f t="shared" si="14"/>
        <v>.18</v>
      </c>
      <c r="BR18" s="218" t="str">
        <f t="shared" si="15"/>
        <v>.19</v>
      </c>
      <c r="BS18" s="218" t="str">
        <f t="shared" si="16"/>
        <v>.20</v>
      </c>
      <c r="BT18" s="218" t="str">
        <f t="shared" si="17"/>
        <v>.21</v>
      </c>
      <c r="BU18" s="218" t="str">
        <f t="shared" si="27"/>
        <v>.15</v>
      </c>
      <c r="BV18" s="218" t="str">
        <f t="shared" si="28"/>
        <v>.16</v>
      </c>
      <c r="BW18" s="218" t="str">
        <f t="shared" si="18"/>
        <v>.17</v>
      </c>
      <c r="BX18" s="218" t="str">
        <f t="shared" si="19"/>
        <v>.18</v>
      </c>
      <c r="BY18" s="218" t="str">
        <f t="shared" si="20"/>
        <v>.19</v>
      </c>
      <c r="BZ18" s="218" t="str">
        <f t="shared" si="21"/>
        <v>.20</v>
      </c>
      <c r="CA18" s="218" t="str">
        <f t="shared" si="22"/>
        <v>.21</v>
      </c>
    </row>
    <row r="19" spans="6:79" ht="12.75">
      <c r="F19" s="191">
        <f>IF('Cal Info'!D22="","",DATEVALUE('Cal Info'!B22&amp;" "&amp;'Cal Info'!C22&amp;", "&amp;'Cal Info'!D22))</f>
      </c>
      <c r="G19" s="192">
        <f>IF('Cal Info'!F22="","",DATEVALUE('Cal Info'!E22&amp;" "&amp;'Cal Info'!F22&amp;", "&amp;'Cal Info'!G22))</f>
      </c>
      <c r="H19" s="193">
        <f>IF('Cal Info'!J22="","",DATEVALUE('Cal Info'!I22&amp;" "&amp;'Cal Info'!J22&amp;", "&amp;'Cal Info'!K22))</f>
      </c>
      <c r="J19" s="182">
        <f t="shared" si="0"/>
        <v>22</v>
      </c>
      <c r="K19" s="182">
        <f t="shared" si="1"/>
        <v>23</v>
      </c>
      <c r="L19" s="182">
        <f t="shared" si="2"/>
        <v>24</v>
      </c>
      <c r="M19" s="182">
        <f t="shared" si="3"/>
        <v>25</v>
      </c>
      <c r="N19" s="182">
        <f t="shared" si="4"/>
        <v>26</v>
      </c>
      <c r="O19" s="182">
        <f t="shared" si="5"/>
        <v>27</v>
      </c>
      <c r="P19" s="182">
        <f t="shared" si="6"/>
        <v>28</v>
      </c>
      <c r="Q19" s="182">
        <v>19</v>
      </c>
      <c r="R19" s="182">
        <v>20</v>
      </c>
      <c r="S19" s="182">
        <v>21</v>
      </c>
      <c r="T19" s="194">
        <v>22</v>
      </c>
      <c r="U19" s="182">
        <v>23</v>
      </c>
      <c r="V19" s="182">
        <v>24</v>
      </c>
      <c r="W19" s="182">
        <v>25</v>
      </c>
      <c r="X19" s="182">
        <v>19</v>
      </c>
      <c r="Y19" s="182">
        <v>20</v>
      </c>
      <c r="Z19" s="182">
        <v>21</v>
      </c>
      <c r="AA19" s="194">
        <v>22</v>
      </c>
      <c r="AB19" s="182">
        <v>23</v>
      </c>
      <c r="AC19" s="182">
        <v>24</v>
      </c>
      <c r="AD19" s="182">
        <v>25</v>
      </c>
      <c r="AE19" s="182">
        <v>19</v>
      </c>
      <c r="AF19" s="182">
        <v>20</v>
      </c>
      <c r="AG19" s="182">
        <v>21</v>
      </c>
      <c r="AH19" s="194">
        <v>22</v>
      </c>
      <c r="AI19" s="182">
        <v>23</v>
      </c>
      <c r="AJ19" s="182">
        <v>24</v>
      </c>
      <c r="AK19" s="182">
        <v>25</v>
      </c>
      <c r="AL19" s="182">
        <v>19</v>
      </c>
      <c r="AM19" s="182">
        <v>20</v>
      </c>
      <c r="AN19" s="182">
        <v>21</v>
      </c>
      <c r="AO19" s="194">
        <v>22</v>
      </c>
      <c r="AP19" s="182">
        <v>23</v>
      </c>
      <c r="AQ19" s="182">
        <v>24</v>
      </c>
      <c r="AR19" s="182">
        <v>25</v>
      </c>
      <c r="AS19" s="182">
        <f ca="1">OFFSET(INDIRECT(VLOOKUP(VLOOKUP(clFiscalYear,rgPerpCal,11,TRUE),rgPerpMons,2,TRUE)),3,0)</f>
        <v>22</v>
      </c>
      <c r="AT19" s="182">
        <f ca="1">OFFSET(INDIRECT(VLOOKUP(VLOOKUP(clFiscalYear,rgPerpCal,11,TRUE),rgPerpMons,2,TRUE)),3,1)</f>
        <v>23</v>
      </c>
      <c r="AU19" s="182">
        <f ca="1">OFFSET(INDIRECT(VLOOKUP(VLOOKUP(clFiscalYear,rgPerpCal,11,TRUE),rgPerpMons,2,TRUE)),3,2)</f>
        <v>24</v>
      </c>
      <c r="AV19" s="182">
        <f ca="1">OFFSET(INDIRECT(VLOOKUP(VLOOKUP(clFiscalYear,rgPerpCal,11,TRUE),rgPerpMons,2,TRUE)),3,3)</f>
        <v>25</v>
      </c>
      <c r="AW19" s="182">
        <f ca="1">OFFSET(INDIRECT(VLOOKUP(VLOOKUP(clFiscalYear,rgPerpCal,11,TRUE),rgPerpMons,2,TRUE)),3,4)</f>
        <v>26</v>
      </c>
      <c r="AX19" s="182">
        <f ca="1">OFFSET(INDIRECT(VLOOKUP(VLOOKUP(clFiscalYear,rgPerpCal,11,TRUE),rgPerpMons,2,TRUE)),3,5)</f>
        <v>27</v>
      </c>
      <c r="AY19" s="182">
        <f ca="1">OFFSET(INDIRECT(VLOOKUP(VLOOKUP(clFiscalYear,rgPerpCal,11,TRUE),rgPerpMons,2,TRUE)),3,6)</f>
        <v>28</v>
      </c>
      <c r="AZ19" s="181">
        <f t="shared" si="31"/>
        <v>45221</v>
      </c>
      <c r="BA19" s="181">
        <f t="shared" si="31"/>
        <v>45222</v>
      </c>
      <c r="BB19" s="181">
        <f t="shared" si="31"/>
        <v>45223</v>
      </c>
      <c r="BC19" s="181">
        <f t="shared" si="31"/>
        <v>45224</v>
      </c>
      <c r="BD19" s="181">
        <f t="shared" si="31"/>
        <v>45225</v>
      </c>
      <c r="BE19" s="181">
        <f t="shared" si="31"/>
        <v>45226</v>
      </c>
      <c r="BF19" s="181">
        <f t="shared" si="31"/>
        <v>45227</v>
      </c>
      <c r="BG19" s="182" t="str">
        <f t="shared" si="23"/>
        <v>.22</v>
      </c>
      <c r="BH19" s="182" t="str">
        <f t="shared" si="24"/>
        <v>.23</v>
      </c>
      <c r="BI19" s="182" t="str">
        <f t="shared" si="8"/>
        <v>.24</v>
      </c>
      <c r="BJ19" s="182" t="str">
        <f t="shared" si="9"/>
        <v>.25</v>
      </c>
      <c r="BK19" s="182" t="str">
        <f t="shared" si="10"/>
        <v>.26</v>
      </c>
      <c r="BL19" s="182" t="str">
        <f t="shared" si="11"/>
        <v>.27</v>
      </c>
      <c r="BM19" s="182" t="str">
        <f t="shared" si="12"/>
        <v>.28</v>
      </c>
      <c r="BN19" s="218" t="str">
        <f t="shared" si="25"/>
        <v>.22</v>
      </c>
      <c r="BO19" s="218" t="str">
        <f t="shared" si="26"/>
        <v>.23</v>
      </c>
      <c r="BP19" s="218" t="str">
        <f t="shared" si="13"/>
        <v>.24</v>
      </c>
      <c r="BQ19" s="218" t="str">
        <f t="shared" si="14"/>
        <v>.25</v>
      </c>
      <c r="BR19" s="218" t="str">
        <f t="shared" si="15"/>
        <v>.26</v>
      </c>
      <c r="BS19" s="218" t="str">
        <f t="shared" si="16"/>
        <v>.27</v>
      </c>
      <c r="BT19" s="218" t="str">
        <f t="shared" si="17"/>
        <v>.28</v>
      </c>
      <c r="BU19" s="218" t="str">
        <f t="shared" si="27"/>
        <v>.22</v>
      </c>
      <c r="BV19" s="218" t="str">
        <f t="shared" si="28"/>
        <v>.23</v>
      </c>
      <c r="BW19" s="218" t="str">
        <f t="shared" si="18"/>
        <v>.24</v>
      </c>
      <c r="BX19" s="218" t="str">
        <f t="shared" si="19"/>
        <v>.25</v>
      </c>
      <c r="BY19" s="218" t="str">
        <f t="shared" si="20"/>
        <v>.26</v>
      </c>
      <c r="BZ19" s="218" t="str">
        <f t="shared" si="21"/>
        <v>.27</v>
      </c>
      <c r="CA19" s="218" t="str">
        <f t="shared" si="22"/>
        <v>.28</v>
      </c>
    </row>
    <row r="20" spans="6:79" ht="12.75">
      <c r="F20" s="191">
        <f>IF('Cal Info'!D23="","",DATEVALUE('Cal Info'!B23&amp;" "&amp;'Cal Info'!C23&amp;", "&amp;'Cal Info'!D23))</f>
      </c>
      <c r="G20" s="192">
        <f>IF('Cal Info'!F23="","",DATEVALUE('Cal Info'!E23&amp;" "&amp;'Cal Info'!F23&amp;", "&amp;'Cal Info'!G23))</f>
      </c>
      <c r="H20" s="193">
        <f>IF('Cal Info'!J23="","",DATEVALUE('Cal Info'!I23&amp;" "&amp;'Cal Info'!J23&amp;", "&amp;'Cal Info'!K23))</f>
      </c>
      <c r="J20" s="182">
        <f t="shared" si="0"/>
        <v>29</v>
      </c>
      <c r="K20" s="182">
        <f t="shared" si="1"/>
        <v>30</v>
      </c>
      <c r="L20" s="182">
        <f t="shared" si="2"/>
        <v>31</v>
      </c>
      <c r="M20" s="182">
        <f t="shared" si="3"/>
        <v>0</v>
      </c>
      <c r="N20" s="182">
        <f t="shared" si="4"/>
        <v>0</v>
      </c>
      <c r="O20" s="182">
        <f t="shared" si="5"/>
        <v>0</v>
      </c>
      <c r="P20" s="182">
        <f t="shared" si="6"/>
        <v>0</v>
      </c>
      <c r="Q20" s="182">
        <v>26</v>
      </c>
      <c r="R20" s="197">
        <v>27</v>
      </c>
      <c r="S20" s="182">
        <v>28</v>
      </c>
      <c r="T20" s="182">
        <v>29</v>
      </c>
      <c r="U20" s="182">
        <v>30</v>
      </c>
      <c r="V20" s="182">
        <v>31</v>
      </c>
      <c r="W20" s="182"/>
      <c r="X20" s="182">
        <v>26</v>
      </c>
      <c r="Y20" s="197">
        <v>27</v>
      </c>
      <c r="Z20" s="182">
        <v>28</v>
      </c>
      <c r="AA20" s="182">
        <v>29</v>
      </c>
      <c r="AB20" s="182">
        <v>30</v>
      </c>
      <c r="AC20" s="182"/>
      <c r="AD20" s="182"/>
      <c r="AE20" s="182">
        <v>26</v>
      </c>
      <c r="AF20" s="197">
        <v>27</v>
      </c>
      <c r="AG20" s="182">
        <v>28</v>
      </c>
      <c r="AH20" s="182"/>
      <c r="AI20" s="182"/>
      <c r="AJ20" s="182"/>
      <c r="AK20" s="182"/>
      <c r="AL20" s="182">
        <v>26</v>
      </c>
      <c r="AM20" s="197">
        <v>27</v>
      </c>
      <c r="AN20" s="182">
        <v>28</v>
      </c>
      <c r="AO20" s="182">
        <v>29</v>
      </c>
      <c r="AP20" s="182"/>
      <c r="AQ20" s="182"/>
      <c r="AR20" s="182"/>
      <c r="AS20" s="182">
        <f ca="1">OFFSET(INDIRECT(VLOOKUP(VLOOKUP(clFiscalYear,rgPerpCal,11,TRUE),rgPerpMons,2,TRUE)),4,0)</f>
        <v>29</v>
      </c>
      <c r="AT20" s="182">
        <f ca="1">OFFSET(INDIRECT(VLOOKUP(VLOOKUP(clFiscalYear,rgPerpCal,11,TRUE),rgPerpMons,2,TRUE)),4,1)</f>
        <v>30</v>
      </c>
      <c r="AU20" s="182">
        <f ca="1">OFFSET(INDIRECT(VLOOKUP(VLOOKUP(clFiscalYear,rgPerpCal,11,TRUE),rgPerpMons,2,TRUE)),4,2)</f>
        <v>31</v>
      </c>
      <c r="AV20" s="182">
        <f ca="1">OFFSET(INDIRECT(VLOOKUP(VLOOKUP(clFiscalYear,rgPerpCal,11,TRUE),rgPerpMons,2,TRUE)),4,3)</f>
        <v>0</v>
      </c>
      <c r="AW20" s="182">
        <f ca="1">OFFSET(INDIRECT(VLOOKUP(VLOOKUP(clFiscalYear,rgPerpCal,11,TRUE),rgPerpMons,2,TRUE)),4,4)</f>
        <v>0</v>
      </c>
      <c r="AX20" s="182">
        <f ca="1">OFFSET(INDIRECT(VLOOKUP(VLOOKUP(clFiscalYear,rgPerpCal,11,TRUE),rgPerpMons,2,TRUE)),4,5)</f>
        <v>0</v>
      </c>
      <c r="AY20" s="182">
        <f ca="1">OFFSET(INDIRECT(VLOOKUP(VLOOKUP(clFiscalYear,rgPerpCal,11,TRUE),rgPerpMons,2,TRUE)),4,6)</f>
        <v>0</v>
      </c>
      <c r="AZ20" s="181">
        <f t="shared" si="31"/>
        <v>45228</v>
      </c>
      <c r="BA20" s="181">
        <f t="shared" si="31"/>
        <v>45229</v>
      </c>
      <c r="BB20" s="181">
        <f t="shared" si="31"/>
        <v>45230</v>
      </c>
      <c r="BC20" s="181">
        <f t="shared" si="31"/>
        <v>0</v>
      </c>
      <c r="BD20" s="181">
        <f t="shared" si="31"/>
        <v>0</v>
      </c>
      <c r="BE20" s="181">
        <f t="shared" si="31"/>
        <v>0</v>
      </c>
      <c r="BF20" s="181">
        <f t="shared" si="31"/>
        <v>0</v>
      </c>
      <c r="BG20" s="182" t="str">
        <f t="shared" si="23"/>
        <v>.29</v>
      </c>
      <c r="BH20" s="182" t="str">
        <f t="shared" si="24"/>
        <v>.30</v>
      </c>
      <c r="BI20" s="182" t="str">
        <f t="shared" si="8"/>
        <v>.31</v>
      </c>
      <c r="BJ20" s="182">
        <f t="shared" si="9"/>
        <v>0</v>
      </c>
      <c r="BK20" s="182">
        <f t="shared" si="10"/>
        <v>0</v>
      </c>
      <c r="BL20" s="182">
        <f t="shared" si="11"/>
        <v>0</v>
      </c>
      <c r="BM20" s="182">
        <f t="shared" si="12"/>
        <v>0</v>
      </c>
      <c r="BN20" s="218" t="str">
        <f t="shared" si="25"/>
        <v>.29</v>
      </c>
      <c r="BO20" s="218" t="str">
        <f t="shared" si="26"/>
        <v>.30</v>
      </c>
      <c r="BP20" s="218" t="str">
        <f t="shared" si="13"/>
        <v>.31</v>
      </c>
      <c r="BQ20" s="218">
        <f t="shared" si="14"/>
        <v>0</v>
      </c>
      <c r="BR20" s="218">
        <f t="shared" si="15"/>
        <v>0</v>
      </c>
      <c r="BS20" s="218">
        <f t="shared" si="16"/>
        <v>0</v>
      </c>
      <c r="BT20" s="218">
        <f t="shared" si="17"/>
        <v>0</v>
      </c>
      <c r="BU20" s="218" t="str">
        <f t="shared" si="27"/>
        <v>.29</v>
      </c>
      <c r="BV20" s="218" t="str">
        <f t="shared" si="28"/>
        <v>.30</v>
      </c>
      <c r="BW20" s="218" t="str">
        <f t="shared" si="18"/>
        <v>.31</v>
      </c>
      <c r="BX20" s="218">
        <f t="shared" si="19"/>
        <v>0</v>
      </c>
      <c r="BY20" s="218">
        <f t="shared" si="20"/>
        <v>0</v>
      </c>
      <c r="BZ20" s="218">
        <f t="shared" si="21"/>
        <v>0</v>
      </c>
      <c r="CA20" s="218">
        <f t="shared" si="22"/>
        <v>0</v>
      </c>
    </row>
    <row r="21" spans="6:79" ht="12.75">
      <c r="F21" s="191">
        <f>IF('Cal Info'!D24="","",DATEVALUE('Cal Info'!B24&amp;" "&amp;'Cal Info'!C24&amp;", "&amp;'Cal Info'!D24))</f>
      </c>
      <c r="G21" s="192">
        <f>IF('Cal Info'!F24="","",DATEVALUE('Cal Info'!E24&amp;" "&amp;'Cal Info'!F24&amp;", "&amp;'Cal Info'!G24))</f>
      </c>
      <c r="H21" s="193">
        <f>IF('Cal Info'!J24="","",DATEVALUE('Cal Info'!I24&amp;" "&amp;'Cal Info'!J24&amp;", "&amp;'Cal Info'!K24))</f>
      </c>
      <c r="J21" s="182">
        <f t="shared" si="0"/>
        <v>0</v>
      </c>
      <c r="K21" s="182">
        <f t="shared" si="1"/>
        <v>0</v>
      </c>
      <c r="L21" s="182">
        <f t="shared" si="2"/>
        <v>0</v>
      </c>
      <c r="M21" s="182">
        <f t="shared" si="3"/>
        <v>1</v>
      </c>
      <c r="N21" s="182">
        <f t="shared" si="4"/>
        <v>2</v>
      </c>
      <c r="O21" s="182">
        <f t="shared" si="5"/>
        <v>3</v>
      </c>
      <c r="P21" s="182">
        <f t="shared" si="6"/>
        <v>4</v>
      </c>
      <c r="Q21" s="182"/>
      <c r="R21" s="182"/>
      <c r="S21" s="182"/>
      <c r="T21" s="182"/>
      <c r="U21" s="182">
        <v>1</v>
      </c>
      <c r="V21" s="182">
        <v>2</v>
      </c>
      <c r="W21" s="182">
        <v>3</v>
      </c>
      <c r="X21" s="182"/>
      <c r="Y21" s="182"/>
      <c r="Z21" s="182"/>
      <c r="AA21" s="182"/>
      <c r="AB21" s="182">
        <v>1</v>
      </c>
      <c r="AC21" s="182">
        <v>2</v>
      </c>
      <c r="AD21" s="182">
        <v>3</v>
      </c>
      <c r="AE21" s="182"/>
      <c r="AF21" s="182"/>
      <c r="AG21" s="182"/>
      <c r="AH21" s="182"/>
      <c r="AI21" s="182">
        <v>1</v>
      </c>
      <c r="AJ21" s="182">
        <v>2</v>
      </c>
      <c r="AK21" s="182">
        <v>3</v>
      </c>
      <c r="AL21" s="182"/>
      <c r="AM21" s="182"/>
      <c r="AN21" s="182"/>
      <c r="AO21" s="182"/>
      <c r="AP21" s="182">
        <v>1</v>
      </c>
      <c r="AQ21" s="182">
        <v>2</v>
      </c>
      <c r="AR21" s="182">
        <v>3</v>
      </c>
      <c r="AS21" s="182">
        <f ca="1">OFFSET(INDIRECT(VLOOKUP(VLOOKUP(clFiscalYear,rgPerpCal,12,TRUE),rgPerpMons,2,TRUE)),0,0)</f>
        <v>0</v>
      </c>
      <c r="AT21" s="182">
        <f ca="1">OFFSET(INDIRECT(VLOOKUP(VLOOKUP(clFiscalYear,rgPerpCal,12,TRUE),rgPerpMons,2,TRUE)),0,1)</f>
        <v>0</v>
      </c>
      <c r="AU21" s="182">
        <f ca="1">OFFSET(INDIRECT(VLOOKUP(VLOOKUP(clFiscalYear,rgPerpCal,12,TRUE),rgPerpMons,2,TRUE)),0,2)</f>
        <v>0</v>
      </c>
      <c r="AV21" s="182">
        <f ca="1">OFFSET(INDIRECT(VLOOKUP(VLOOKUP(clFiscalYear,rgPerpCal,12,TRUE),rgPerpMons,2,TRUE)),0,3)</f>
        <v>1</v>
      </c>
      <c r="AW21" s="182">
        <f ca="1">OFFSET(INDIRECT(VLOOKUP(VLOOKUP(clFiscalYear,rgPerpCal,12,TRUE),rgPerpMons,2,TRUE)),0,4)</f>
        <v>2</v>
      </c>
      <c r="AX21" s="182">
        <f ca="1">OFFSET(INDIRECT(VLOOKUP(VLOOKUP(clFiscalYear,rgPerpCal,12,TRUE),rgPerpMons,2,TRUE)),0,5)</f>
        <v>3</v>
      </c>
      <c r="AY21" s="182">
        <f ca="1">OFFSET(INDIRECT(VLOOKUP(VLOOKUP(clFiscalYear,rgPerpCal,12,TRUE),rgPerpMons,2,TRUE)),0,6)</f>
        <v>4</v>
      </c>
      <c r="AZ21" s="181">
        <f aca="true" t="shared" si="32" ref="AZ21:BF25">IF(AS21&lt;&gt;0,DATEVALUE(AS21&amp;" November "&amp;clFiscalYear-1),0)</f>
        <v>0</v>
      </c>
      <c r="BA21" s="181">
        <f t="shared" si="32"/>
        <v>0</v>
      </c>
      <c r="BB21" s="181">
        <f t="shared" si="32"/>
        <v>0</v>
      </c>
      <c r="BC21" s="181">
        <f t="shared" si="32"/>
        <v>45231</v>
      </c>
      <c r="BD21" s="181">
        <f t="shared" si="32"/>
        <v>45232</v>
      </c>
      <c r="BE21" s="181">
        <f t="shared" si="32"/>
        <v>45233</v>
      </c>
      <c r="BF21" s="181">
        <f t="shared" si="32"/>
        <v>45234</v>
      </c>
      <c r="BG21" s="182">
        <f t="shared" si="23"/>
        <v>0</v>
      </c>
      <c r="BH21" s="182">
        <f t="shared" si="24"/>
        <v>0</v>
      </c>
      <c r="BI21" s="182">
        <f t="shared" si="8"/>
        <v>0</v>
      </c>
      <c r="BJ21" s="182" t="str">
        <f t="shared" si="9"/>
        <v>.1</v>
      </c>
      <c r="BK21" s="182" t="str">
        <f t="shared" si="10"/>
        <v>.2</v>
      </c>
      <c r="BL21" s="182" t="str">
        <f t="shared" si="11"/>
        <v>.3</v>
      </c>
      <c r="BM21" s="182" t="str">
        <f t="shared" si="12"/>
        <v>.4</v>
      </c>
      <c r="BN21" s="218">
        <f t="shared" si="25"/>
        <v>0</v>
      </c>
      <c r="BO21" s="218">
        <f t="shared" si="26"/>
        <v>0</v>
      </c>
      <c r="BP21" s="218">
        <f t="shared" si="13"/>
        <v>0</v>
      </c>
      <c r="BQ21" s="218" t="str">
        <f t="shared" si="14"/>
        <v>.1</v>
      </c>
      <c r="BR21" s="218" t="str">
        <f t="shared" si="15"/>
        <v>.2</v>
      </c>
      <c r="BS21" s="218" t="str">
        <f t="shared" si="16"/>
        <v>.3</v>
      </c>
      <c r="BT21" s="218" t="str">
        <f t="shared" si="17"/>
        <v>.4</v>
      </c>
      <c r="BU21" s="218">
        <f t="shared" si="27"/>
        <v>0</v>
      </c>
      <c r="BV21" s="218">
        <f t="shared" si="28"/>
        <v>0</v>
      </c>
      <c r="BW21" s="218">
        <f t="shared" si="18"/>
        <v>0</v>
      </c>
      <c r="BX21" s="218" t="str">
        <f t="shared" si="19"/>
        <v>.1</v>
      </c>
      <c r="BY21" s="218" t="str">
        <f t="shared" si="20"/>
        <v>.2</v>
      </c>
      <c r="BZ21" s="218" t="str">
        <f t="shared" si="21"/>
        <v>.3</v>
      </c>
      <c r="CA21" s="218" t="str">
        <f t="shared" si="22"/>
        <v>.4</v>
      </c>
    </row>
    <row r="22" spans="6:79" ht="12.75">
      <c r="F22" s="191">
        <f>IF('Cal Info'!D25="","",DATEVALUE('Cal Info'!B25&amp;" "&amp;'Cal Info'!C25&amp;", "&amp;'Cal Info'!D25))</f>
      </c>
      <c r="G22" s="192">
        <f>IF('Cal Info'!F25="","",DATEVALUE('Cal Info'!E25&amp;" "&amp;'Cal Info'!F25&amp;", "&amp;'Cal Info'!G25))</f>
      </c>
      <c r="H22" s="193">
        <f>IF('Cal Info'!J25="","",DATEVALUE('Cal Info'!I25&amp;" "&amp;'Cal Info'!J25&amp;", "&amp;'Cal Info'!K25))</f>
      </c>
      <c r="J22" s="182">
        <f t="shared" si="0"/>
        <v>5</v>
      </c>
      <c r="K22" s="182">
        <f t="shared" si="1"/>
        <v>6</v>
      </c>
      <c r="L22" s="182">
        <f t="shared" si="2"/>
        <v>7</v>
      </c>
      <c r="M22" s="182">
        <f t="shared" si="3"/>
        <v>8</v>
      </c>
      <c r="N22" s="182">
        <f t="shared" si="4"/>
        <v>9</v>
      </c>
      <c r="O22" s="182">
        <f t="shared" si="5"/>
        <v>10</v>
      </c>
      <c r="P22" s="182">
        <f t="shared" si="6"/>
        <v>11</v>
      </c>
      <c r="Q22" s="182">
        <v>4</v>
      </c>
      <c r="R22" s="182">
        <v>5</v>
      </c>
      <c r="S22" s="182">
        <v>6</v>
      </c>
      <c r="T22" s="182">
        <v>7</v>
      </c>
      <c r="U22" s="182">
        <v>8</v>
      </c>
      <c r="V22" s="189">
        <v>9</v>
      </c>
      <c r="W22" s="182">
        <v>10</v>
      </c>
      <c r="X22" s="182">
        <v>4</v>
      </c>
      <c r="Y22" s="182">
        <v>5</v>
      </c>
      <c r="Z22" s="182">
        <v>6</v>
      </c>
      <c r="AA22" s="182">
        <v>7</v>
      </c>
      <c r="AB22" s="182">
        <v>8</v>
      </c>
      <c r="AC22" s="189">
        <v>9</v>
      </c>
      <c r="AD22" s="182">
        <v>10</v>
      </c>
      <c r="AE22" s="182">
        <v>4</v>
      </c>
      <c r="AF22" s="182">
        <v>5</v>
      </c>
      <c r="AG22" s="182">
        <v>6</v>
      </c>
      <c r="AH22" s="182">
        <v>7</v>
      </c>
      <c r="AI22" s="182">
        <v>8</v>
      </c>
      <c r="AJ22" s="189">
        <v>9</v>
      </c>
      <c r="AK22" s="182">
        <v>10</v>
      </c>
      <c r="AL22" s="182">
        <v>4</v>
      </c>
      <c r="AM22" s="182">
        <v>5</v>
      </c>
      <c r="AN22" s="182">
        <v>6</v>
      </c>
      <c r="AO22" s="182">
        <v>7</v>
      </c>
      <c r="AP22" s="182">
        <v>8</v>
      </c>
      <c r="AQ22" s="189">
        <v>9</v>
      </c>
      <c r="AR22" s="182">
        <v>10</v>
      </c>
      <c r="AS22" s="182">
        <f ca="1">OFFSET(INDIRECT(VLOOKUP(VLOOKUP(clFiscalYear,rgPerpCal,12,TRUE),rgPerpMons,2,TRUE)),1,0)</f>
        <v>5</v>
      </c>
      <c r="AT22" s="182">
        <f ca="1">OFFSET(INDIRECT(VLOOKUP(VLOOKUP(clFiscalYear,rgPerpCal,12,TRUE),rgPerpMons,2,TRUE)),1,1)</f>
        <v>6</v>
      </c>
      <c r="AU22" s="182">
        <f ca="1">OFFSET(INDIRECT(VLOOKUP(VLOOKUP(clFiscalYear,rgPerpCal,12,TRUE),rgPerpMons,2,TRUE)),1,2)</f>
        <v>7</v>
      </c>
      <c r="AV22" s="182">
        <f ca="1">OFFSET(INDIRECT(VLOOKUP(VLOOKUP(clFiscalYear,rgPerpCal,12,TRUE),rgPerpMons,2,TRUE)),1,3)</f>
        <v>8</v>
      </c>
      <c r="AW22" s="182">
        <f ca="1">OFFSET(INDIRECT(VLOOKUP(VLOOKUP(clFiscalYear,rgPerpCal,12,TRUE),rgPerpMons,2,TRUE)),1,4)</f>
        <v>9</v>
      </c>
      <c r="AX22" s="182">
        <f ca="1">OFFSET(INDIRECT(VLOOKUP(VLOOKUP(clFiscalYear,rgPerpCal,12,TRUE),rgPerpMons,2,TRUE)),1,5)</f>
        <v>10</v>
      </c>
      <c r="AY22" s="182">
        <f ca="1">OFFSET(INDIRECT(VLOOKUP(VLOOKUP(clFiscalYear,rgPerpCal,12,TRUE),rgPerpMons,2,TRUE)),1,6)</f>
        <v>11</v>
      </c>
      <c r="AZ22" s="181">
        <f t="shared" si="32"/>
        <v>45235</v>
      </c>
      <c r="BA22" s="181">
        <f t="shared" si="32"/>
        <v>45236</v>
      </c>
      <c r="BB22" s="181">
        <f t="shared" si="32"/>
        <v>45237</v>
      </c>
      <c r="BC22" s="181">
        <f t="shared" si="32"/>
        <v>45238</v>
      </c>
      <c r="BD22" s="181">
        <f t="shared" si="32"/>
        <v>45239</v>
      </c>
      <c r="BE22" s="181">
        <f t="shared" si="32"/>
        <v>45240</v>
      </c>
      <c r="BF22" s="181">
        <f t="shared" si="32"/>
        <v>45241</v>
      </c>
      <c r="BG22" s="182" t="str">
        <f t="shared" si="23"/>
        <v>.5</v>
      </c>
      <c r="BH22" s="182" t="str">
        <f t="shared" si="24"/>
        <v>.6</v>
      </c>
      <c r="BI22" s="182" t="str">
        <f t="shared" si="8"/>
        <v>.7</v>
      </c>
      <c r="BJ22" s="182" t="str">
        <f t="shared" si="9"/>
        <v>.8</v>
      </c>
      <c r="BK22" s="182" t="str">
        <f t="shared" si="10"/>
        <v>.9</v>
      </c>
      <c r="BL22" s="182" t="str">
        <f t="shared" si="11"/>
        <v>.10</v>
      </c>
      <c r="BM22" s="182" t="str">
        <f t="shared" si="12"/>
        <v>.11</v>
      </c>
      <c r="BN22" s="218" t="str">
        <f t="shared" si="25"/>
        <v>.5</v>
      </c>
      <c r="BO22" s="218" t="str">
        <f t="shared" si="26"/>
        <v>.6</v>
      </c>
      <c r="BP22" s="218" t="str">
        <f t="shared" si="13"/>
        <v>.7</v>
      </c>
      <c r="BQ22" s="218" t="str">
        <f t="shared" si="14"/>
        <v>.8</v>
      </c>
      <c r="BR22" s="218" t="str">
        <f t="shared" si="15"/>
        <v>.9</v>
      </c>
      <c r="BS22" s="218" t="str">
        <f t="shared" si="16"/>
        <v>.10</v>
      </c>
      <c r="BT22" s="218" t="str">
        <f t="shared" si="17"/>
        <v>.11</v>
      </c>
      <c r="BU22" s="218" t="str">
        <f t="shared" si="27"/>
        <v>.5</v>
      </c>
      <c r="BV22" s="218" t="str">
        <f t="shared" si="28"/>
        <v>.6</v>
      </c>
      <c r="BW22" s="218" t="str">
        <f t="shared" si="18"/>
        <v>.7</v>
      </c>
      <c r="BX22" s="218" t="str">
        <f t="shared" si="19"/>
        <v>.8</v>
      </c>
      <c r="BY22" s="218" t="str">
        <f t="shared" si="20"/>
        <v>.9</v>
      </c>
      <c r="BZ22" s="218" t="str">
        <f t="shared" si="21"/>
        <v>.10</v>
      </c>
      <c r="CA22" s="218" t="str">
        <f t="shared" si="22"/>
        <v>.11</v>
      </c>
    </row>
    <row r="23" spans="6:79" ht="12.75">
      <c r="F23" s="191">
        <f>IF('Cal Info'!D26="","",DATEVALUE('Cal Info'!B26&amp;" "&amp;'Cal Info'!C26&amp;", "&amp;'Cal Info'!D26))</f>
      </c>
      <c r="G23" s="192">
        <f>IF('Cal Info'!F26="","",DATEVALUE('Cal Info'!E26&amp;" "&amp;'Cal Info'!F26&amp;", "&amp;'Cal Info'!G26))</f>
      </c>
      <c r="H23" s="193">
        <f>IF('Cal Info'!J26="","",DATEVALUE('Cal Info'!I26&amp;" "&amp;'Cal Info'!J26&amp;", "&amp;'Cal Info'!K26))</f>
      </c>
      <c r="J23" s="182">
        <f t="shared" si="0"/>
        <v>12</v>
      </c>
      <c r="K23" s="182">
        <f t="shared" si="1"/>
        <v>13</v>
      </c>
      <c r="L23" s="182">
        <f t="shared" si="2"/>
        <v>14</v>
      </c>
      <c r="M23" s="182">
        <f t="shared" si="3"/>
        <v>15</v>
      </c>
      <c r="N23" s="182">
        <f t="shared" si="4"/>
        <v>16</v>
      </c>
      <c r="O23" s="182">
        <f t="shared" si="5"/>
        <v>17</v>
      </c>
      <c r="P23" s="182">
        <f t="shared" si="6"/>
        <v>18</v>
      </c>
      <c r="Q23" s="182">
        <v>11</v>
      </c>
      <c r="R23" s="194">
        <v>12</v>
      </c>
      <c r="S23" s="182">
        <v>13</v>
      </c>
      <c r="T23" s="182">
        <v>14</v>
      </c>
      <c r="U23" s="182">
        <v>15</v>
      </c>
      <c r="V23" s="182">
        <v>16</v>
      </c>
      <c r="W23" s="182">
        <v>17</v>
      </c>
      <c r="X23" s="182">
        <v>11</v>
      </c>
      <c r="Y23" s="194">
        <v>12</v>
      </c>
      <c r="Z23" s="182">
        <v>13</v>
      </c>
      <c r="AA23" s="182">
        <v>14</v>
      </c>
      <c r="AB23" s="182">
        <v>15</v>
      </c>
      <c r="AC23" s="182">
        <v>16</v>
      </c>
      <c r="AD23" s="182">
        <v>17</v>
      </c>
      <c r="AE23" s="182">
        <v>11</v>
      </c>
      <c r="AF23" s="194">
        <v>12</v>
      </c>
      <c r="AG23" s="182">
        <v>13</v>
      </c>
      <c r="AH23" s="182">
        <v>14</v>
      </c>
      <c r="AI23" s="182">
        <v>15</v>
      </c>
      <c r="AJ23" s="182">
        <v>16</v>
      </c>
      <c r="AK23" s="182">
        <v>17</v>
      </c>
      <c r="AL23" s="182">
        <v>11</v>
      </c>
      <c r="AM23" s="194">
        <v>12</v>
      </c>
      <c r="AN23" s="182">
        <v>13</v>
      </c>
      <c r="AO23" s="182">
        <v>14</v>
      </c>
      <c r="AP23" s="182">
        <v>15</v>
      </c>
      <c r="AQ23" s="182">
        <v>16</v>
      </c>
      <c r="AR23" s="182">
        <v>17</v>
      </c>
      <c r="AS23" s="182">
        <f ca="1">OFFSET(INDIRECT(VLOOKUP(VLOOKUP(clFiscalYear,rgPerpCal,12,TRUE),rgPerpMons,2,TRUE)),2,0)</f>
        <v>12</v>
      </c>
      <c r="AT23" s="182">
        <f ca="1">OFFSET(INDIRECT(VLOOKUP(VLOOKUP(clFiscalYear,rgPerpCal,12,TRUE),rgPerpMons,2,TRUE)),2,1)</f>
        <v>13</v>
      </c>
      <c r="AU23" s="182">
        <f ca="1">OFFSET(INDIRECT(VLOOKUP(VLOOKUP(clFiscalYear,rgPerpCal,12,TRUE),rgPerpMons,2,TRUE)),2,2)</f>
        <v>14</v>
      </c>
      <c r="AV23" s="182">
        <f ca="1">OFFSET(INDIRECT(VLOOKUP(VLOOKUP(clFiscalYear,rgPerpCal,12,TRUE),rgPerpMons,2,TRUE)),2,3)</f>
        <v>15</v>
      </c>
      <c r="AW23" s="182">
        <f ca="1">OFFSET(INDIRECT(VLOOKUP(VLOOKUP(clFiscalYear,rgPerpCal,12,TRUE),rgPerpMons,2,TRUE)),2,4)</f>
        <v>16</v>
      </c>
      <c r="AX23" s="182">
        <f ca="1">OFFSET(INDIRECT(VLOOKUP(VLOOKUP(clFiscalYear,rgPerpCal,12,TRUE),rgPerpMons,2,TRUE)),2,5)</f>
        <v>17</v>
      </c>
      <c r="AY23" s="182">
        <f ca="1">OFFSET(INDIRECT(VLOOKUP(VLOOKUP(clFiscalYear,rgPerpCal,12,TRUE),rgPerpMons,2,TRUE)),2,6)</f>
        <v>18</v>
      </c>
      <c r="AZ23" s="181">
        <f t="shared" si="32"/>
        <v>45242</v>
      </c>
      <c r="BA23" s="181">
        <f t="shared" si="32"/>
        <v>45243</v>
      </c>
      <c r="BB23" s="181">
        <f t="shared" si="32"/>
        <v>45244</v>
      </c>
      <c r="BC23" s="181">
        <f t="shared" si="32"/>
        <v>45245</v>
      </c>
      <c r="BD23" s="181">
        <f t="shared" si="32"/>
        <v>45246</v>
      </c>
      <c r="BE23" s="181">
        <f t="shared" si="32"/>
        <v>45247</v>
      </c>
      <c r="BF23" s="181">
        <f t="shared" si="32"/>
        <v>45248</v>
      </c>
      <c r="BG23" s="182" t="str">
        <f t="shared" si="23"/>
        <v>.12</v>
      </c>
      <c r="BH23" s="182" t="str">
        <f t="shared" si="24"/>
        <v>.13</v>
      </c>
      <c r="BI23" s="182" t="str">
        <f t="shared" si="8"/>
        <v>.14</v>
      </c>
      <c r="BJ23" s="182" t="str">
        <f t="shared" si="9"/>
        <v>.15</v>
      </c>
      <c r="BK23" s="182" t="str">
        <f t="shared" si="10"/>
        <v>.16</v>
      </c>
      <c r="BL23" s="182" t="str">
        <f t="shared" si="11"/>
        <v>.17</v>
      </c>
      <c r="BM23" s="182" t="str">
        <f t="shared" si="12"/>
        <v>.18</v>
      </c>
      <c r="BN23" s="218" t="str">
        <f t="shared" si="25"/>
        <v>.12</v>
      </c>
      <c r="BO23" s="218" t="str">
        <f t="shared" si="26"/>
        <v>.13</v>
      </c>
      <c r="BP23" s="218" t="str">
        <f t="shared" si="13"/>
        <v>.14</v>
      </c>
      <c r="BQ23" s="218" t="str">
        <f t="shared" si="14"/>
        <v>.15</v>
      </c>
      <c r="BR23" s="218" t="str">
        <f t="shared" si="15"/>
        <v>.16</v>
      </c>
      <c r="BS23" s="218" t="str">
        <f t="shared" si="16"/>
        <v>.17</v>
      </c>
      <c r="BT23" s="218" t="str">
        <f t="shared" si="17"/>
        <v>.18</v>
      </c>
      <c r="BU23" s="218" t="str">
        <f t="shared" si="27"/>
        <v>.12</v>
      </c>
      <c r="BV23" s="218" t="str">
        <f t="shared" si="28"/>
        <v>.13</v>
      </c>
      <c r="BW23" s="218" t="str">
        <f t="shared" si="18"/>
        <v>.14</v>
      </c>
      <c r="BX23" s="218" t="str">
        <f t="shared" si="19"/>
        <v>.15</v>
      </c>
      <c r="BY23" s="218" t="str">
        <f t="shared" si="20"/>
        <v>.16</v>
      </c>
      <c r="BZ23" s="218" t="str">
        <f t="shared" si="21"/>
        <v>.17</v>
      </c>
      <c r="CA23" s="218" t="str">
        <f t="shared" si="22"/>
        <v>.18</v>
      </c>
    </row>
    <row r="24" spans="6:79" ht="12.75">
      <c r="F24" s="191">
        <f>IF('Cal Info'!D27="","",DATEVALUE('Cal Info'!B27&amp;" "&amp;'Cal Info'!C27&amp;", "&amp;'Cal Info'!D27))</f>
      </c>
      <c r="G24" s="192">
        <f>IF('Cal Info'!F27="","",DATEVALUE('Cal Info'!E27&amp;" "&amp;'Cal Info'!F27&amp;", "&amp;'Cal Info'!G27))</f>
      </c>
      <c r="H24" s="193">
        <f>IF('Cal Info'!J27="","",DATEVALUE('Cal Info'!I27&amp;" "&amp;'Cal Info'!J27&amp;", "&amp;'Cal Info'!K27))</f>
      </c>
      <c r="J24" s="182">
        <f t="shared" si="0"/>
        <v>19</v>
      </c>
      <c r="K24" s="182">
        <f t="shared" si="1"/>
        <v>20</v>
      </c>
      <c r="L24" s="182">
        <f t="shared" si="2"/>
        <v>21</v>
      </c>
      <c r="M24" s="182">
        <f t="shared" si="3"/>
        <v>22</v>
      </c>
      <c r="N24" s="182">
        <f t="shared" si="4"/>
        <v>23</v>
      </c>
      <c r="O24" s="182">
        <f t="shared" si="5"/>
        <v>24</v>
      </c>
      <c r="P24" s="182">
        <f t="shared" si="6"/>
        <v>25</v>
      </c>
      <c r="Q24" s="182">
        <v>18</v>
      </c>
      <c r="R24" s="182">
        <v>19</v>
      </c>
      <c r="S24" s="182">
        <v>20</v>
      </c>
      <c r="T24" s="194">
        <v>21</v>
      </c>
      <c r="U24" s="182">
        <v>22</v>
      </c>
      <c r="V24" s="182">
        <v>23</v>
      </c>
      <c r="W24" s="182">
        <v>24</v>
      </c>
      <c r="X24" s="182">
        <v>18</v>
      </c>
      <c r="Y24" s="182">
        <v>19</v>
      </c>
      <c r="Z24" s="182">
        <v>20</v>
      </c>
      <c r="AA24" s="194">
        <v>21</v>
      </c>
      <c r="AB24" s="182">
        <v>22</v>
      </c>
      <c r="AC24" s="182">
        <v>23</v>
      </c>
      <c r="AD24" s="182">
        <v>24</v>
      </c>
      <c r="AE24" s="182">
        <v>18</v>
      </c>
      <c r="AF24" s="182">
        <v>19</v>
      </c>
      <c r="AG24" s="182">
        <v>20</v>
      </c>
      <c r="AH24" s="194">
        <v>21</v>
      </c>
      <c r="AI24" s="182">
        <v>22</v>
      </c>
      <c r="AJ24" s="182">
        <v>23</v>
      </c>
      <c r="AK24" s="182">
        <v>24</v>
      </c>
      <c r="AL24" s="182">
        <v>18</v>
      </c>
      <c r="AM24" s="182">
        <v>19</v>
      </c>
      <c r="AN24" s="182">
        <v>20</v>
      </c>
      <c r="AO24" s="194">
        <v>21</v>
      </c>
      <c r="AP24" s="182">
        <v>22</v>
      </c>
      <c r="AQ24" s="182">
        <v>23</v>
      </c>
      <c r="AR24" s="182">
        <v>24</v>
      </c>
      <c r="AS24" s="182">
        <f ca="1">OFFSET(INDIRECT(VLOOKUP(VLOOKUP(clFiscalYear,rgPerpCal,12,TRUE),rgPerpMons,2,TRUE)),3,0)</f>
        <v>19</v>
      </c>
      <c r="AT24" s="182">
        <f ca="1">OFFSET(INDIRECT(VLOOKUP(VLOOKUP(clFiscalYear,rgPerpCal,12,TRUE),rgPerpMons,2,TRUE)),3,1)</f>
        <v>20</v>
      </c>
      <c r="AU24" s="182">
        <f ca="1">OFFSET(INDIRECT(VLOOKUP(VLOOKUP(clFiscalYear,rgPerpCal,12,TRUE),rgPerpMons,2,TRUE)),3,2)</f>
        <v>21</v>
      </c>
      <c r="AV24" s="182">
        <f ca="1">OFFSET(INDIRECT(VLOOKUP(VLOOKUP(clFiscalYear,rgPerpCal,12,TRUE),rgPerpMons,2,TRUE)),3,3)</f>
        <v>22</v>
      </c>
      <c r="AW24" s="182">
        <f ca="1">OFFSET(INDIRECT(VLOOKUP(VLOOKUP(clFiscalYear,rgPerpCal,12,TRUE),rgPerpMons,2,TRUE)),3,4)</f>
        <v>23</v>
      </c>
      <c r="AX24" s="182">
        <f ca="1">OFFSET(INDIRECT(VLOOKUP(VLOOKUP(clFiscalYear,rgPerpCal,12,TRUE),rgPerpMons,2,TRUE)),3,5)</f>
        <v>24</v>
      </c>
      <c r="AY24" s="182">
        <f ca="1">OFFSET(INDIRECT(VLOOKUP(VLOOKUP(clFiscalYear,rgPerpCal,12,TRUE),rgPerpMons,2,TRUE)),3,6)</f>
        <v>25</v>
      </c>
      <c r="AZ24" s="181">
        <f t="shared" si="32"/>
        <v>45249</v>
      </c>
      <c r="BA24" s="181">
        <f t="shared" si="32"/>
        <v>45250</v>
      </c>
      <c r="BB24" s="181">
        <f t="shared" si="32"/>
        <v>45251</v>
      </c>
      <c r="BC24" s="181">
        <f t="shared" si="32"/>
        <v>45252</v>
      </c>
      <c r="BD24" s="181">
        <f t="shared" si="32"/>
        <v>45253</v>
      </c>
      <c r="BE24" s="181">
        <f t="shared" si="32"/>
        <v>45254</v>
      </c>
      <c r="BF24" s="181">
        <f t="shared" si="32"/>
        <v>45255</v>
      </c>
      <c r="BG24" s="182" t="str">
        <f t="shared" si="23"/>
        <v>.19</v>
      </c>
      <c r="BH24" s="182" t="str">
        <f t="shared" si="24"/>
        <v>.20</v>
      </c>
      <c r="BI24" s="182" t="str">
        <f t="shared" si="8"/>
        <v>.21</v>
      </c>
      <c r="BJ24" s="182" t="str">
        <f t="shared" si="9"/>
        <v>.22</v>
      </c>
      <c r="BK24" s="182" t="str">
        <f t="shared" si="10"/>
        <v>.23</v>
      </c>
      <c r="BL24" s="182" t="str">
        <f t="shared" si="11"/>
        <v>.24</v>
      </c>
      <c r="BM24" s="182" t="str">
        <f t="shared" si="12"/>
        <v>.25</v>
      </c>
      <c r="BN24" s="218" t="str">
        <f t="shared" si="25"/>
        <v>.19</v>
      </c>
      <c r="BO24" s="218" t="str">
        <f t="shared" si="26"/>
        <v>.20</v>
      </c>
      <c r="BP24" s="218" t="str">
        <f t="shared" si="13"/>
        <v>.21</v>
      </c>
      <c r="BQ24" s="218" t="str">
        <f t="shared" si="14"/>
        <v>.22</v>
      </c>
      <c r="BR24" s="218" t="str">
        <f t="shared" si="15"/>
        <v>.23</v>
      </c>
      <c r="BS24" s="218" t="str">
        <f t="shared" si="16"/>
        <v>.24</v>
      </c>
      <c r="BT24" s="218" t="str">
        <f t="shared" si="17"/>
        <v>.25</v>
      </c>
      <c r="BU24" s="218" t="str">
        <f t="shared" si="27"/>
        <v>.19</v>
      </c>
      <c r="BV24" s="218" t="str">
        <f t="shared" si="28"/>
        <v>.20</v>
      </c>
      <c r="BW24" s="218" t="str">
        <f t="shared" si="18"/>
        <v>.21</v>
      </c>
      <c r="BX24" s="218" t="str">
        <f t="shared" si="19"/>
        <v>.22</v>
      </c>
      <c r="BY24" s="218" t="str">
        <f t="shared" si="20"/>
        <v>.23</v>
      </c>
      <c r="BZ24" s="218" t="str">
        <f t="shared" si="21"/>
        <v>.24</v>
      </c>
      <c r="CA24" s="218" t="str">
        <f t="shared" si="22"/>
        <v>.25</v>
      </c>
    </row>
    <row r="25" spans="6:79" ht="12.75">
      <c r="F25" s="191">
        <f>IF('Cal Info'!D28="","",DATEVALUE('Cal Info'!B28&amp;" "&amp;'Cal Info'!C28&amp;", "&amp;'Cal Info'!D28))</f>
      </c>
      <c r="G25" s="192">
        <f>IF('Cal Info'!F28="","",DATEVALUE('Cal Info'!E28&amp;" "&amp;'Cal Info'!F28&amp;", "&amp;'Cal Info'!G28))</f>
      </c>
      <c r="H25" s="193">
        <f>IF('Cal Info'!J28="","",DATEVALUE('Cal Info'!I28&amp;" "&amp;'Cal Info'!J28&amp;", "&amp;'Cal Info'!K28))</f>
      </c>
      <c r="J25" s="182">
        <f t="shared" si="0"/>
        <v>26</v>
      </c>
      <c r="K25" s="182">
        <f t="shared" si="1"/>
        <v>27</v>
      </c>
      <c r="L25" s="182">
        <f t="shared" si="2"/>
        <v>28</v>
      </c>
      <c r="M25" s="182">
        <f t="shared" si="3"/>
        <v>29</v>
      </c>
      <c r="N25" s="182">
        <f t="shared" si="4"/>
        <v>30</v>
      </c>
      <c r="O25" s="182">
        <f t="shared" si="5"/>
        <v>0</v>
      </c>
      <c r="P25" s="182">
        <f t="shared" si="6"/>
        <v>0</v>
      </c>
      <c r="Q25" s="182">
        <v>25</v>
      </c>
      <c r="R25" s="197">
        <v>26</v>
      </c>
      <c r="S25" s="182">
        <v>27</v>
      </c>
      <c r="T25" s="182">
        <v>28</v>
      </c>
      <c r="U25" s="182">
        <v>29</v>
      </c>
      <c r="V25" s="182">
        <v>30</v>
      </c>
      <c r="W25" s="182">
        <v>31</v>
      </c>
      <c r="X25" s="182">
        <v>25</v>
      </c>
      <c r="Y25" s="197">
        <v>26</v>
      </c>
      <c r="Z25" s="182">
        <v>27</v>
      </c>
      <c r="AA25" s="182">
        <v>28</v>
      </c>
      <c r="AB25" s="182">
        <v>29</v>
      </c>
      <c r="AC25" s="182">
        <v>30</v>
      </c>
      <c r="AD25" s="182"/>
      <c r="AE25" s="182">
        <v>25</v>
      </c>
      <c r="AF25" s="197">
        <v>26</v>
      </c>
      <c r="AG25" s="182">
        <v>27</v>
      </c>
      <c r="AH25" s="182">
        <v>28</v>
      </c>
      <c r="AI25" s="182"/>
      <c r="AJ25" s="182"/>
      <c r="AK25" s="182">
        <v>31</v>
      </c>
      <c r="AL25" s="182">
        <v>25</v>
      </c>
      <c r="AM25" s="197">
        <v>26</v>
      </c>
      <c r="AN25" s="182">
        <v>27</v>
      </c>
      <c r="AO25" s="182">
        <v>28</v>
      </c>
      <c r="AP25" s="182">
        <v>29</v>
      </c>
      <c r="AQ25" s="182"/>
      <c r="AR25" s="182"/>
      <c r="AS25" s="182">
        <f ca="1">OFFSET(INDIRECT(VLOOKUP(VLOOKUP(clFiscalYear,rgPerpCal,12,TRUE),rgPerpMons,2,TRUE)),4,0)</f>
        <v>26</v>
      </c>
      <c r="AT25" s="182">
        <f ca="1">OFFSET(INDIRECT(VLOOKUP(VLOOKUP(clFiscalYear,rgPerpCal,12,TRUE),rgPerpMons,2,TRUE)),4,1)</f>
        <v>27</v>
      </c>
      <c r="AU25" s="182">
        <f ca="1">OFFSET(INDIRECT(VLOOKUP(VLOOKUP(clFiscalYear,rgPerpCal,12,TRUE),rgPerpMons,2,TRUE)),4,2)</f>
        <v>28</v>
      </c>
      <c r="AV25" s="182">
        <f ca="1">OFFSET(INDIRECT(VLOOKUP(VLOOKUP(clFiscalYear,rgPerpCal,12,TRUE),rgPerpMons,2,TRUE)),4,3)</f>
        <v>29</v>
      </c>
      <c r="AW25" s="182">
        <f ca="1">OFFSET(INDIRECT(VLOOKUP(VLOOKUP(clFiscalYear,rgPerpCal,12,TRUE),rgPerpMons,2,TRUE)),4,4)</f>
        <v>30</v>
      </c>
      <c r="AX25" s="182">
        <f ca="1">OFFSET(INDIRECT(VLOOKUP(VLOOKUP(clFiscalYear,rgPerpCal,12,TRUE),rgPerpMons,2,TRUE)),4,5)</f>
        <v>0</v>
      </c>
      <c r="AY25" s="182">
        <f ca="1">OFFSET(INDIRECT(VLOOKUP(VLOOKUP(clFiscalYear,rgPerpCal,12,TRUE),rgPerpMons,2,TRUE)),4,6)</f>
        <v>0</v>
      </c>
      <c r="AZ25" s="181">
        <f t="shared" si="32"/>
        <v>45256</v>
      </c>
      <c r="BA25" s="181">
        <f t="shared" si="32"/>
        <v>45257</v>
      </c>
      <c r="BB25" s="181">
        <f t="shared" si="32"/>
        <v>45258</v>
      </c>
      <c r="BC25" s="181">
        <f t="shared" si="32"/>
        <v>45259</v>
      </c>
      <c r="BD25" s="181">
        <f t="shared" si="32"/>
        <v>45260</v>
      </c>
      <c r="BE25" s="181">
        <f t="shared" si="32"/>
        <v>0</v>
      </c>
      <c r="BF25" s="181">
        <f t="shared" si="32"/>
        <v>0</v>
      </c>
      <c r="BG25" s="182" t="str">
        <f t="shared" si="23"/>
        <v>.26</v>
      </c>
      <c r="BH25" s="182" t="str">
        <f t="shared" si="24"/>
        <v>.27</v>
      </c>
      <c r="BI25" s="182" t="str">
        <f t="shared" si="8"/>
        <v>.28</v>
      </c>
      <c r="BJ25" s="182" t="str">
        <f t="shared" si="9"/>
        <v>.29</v>
      </c>
      <c r="BK25" s="182" t="str">
        <f t="shared" si="10"/>
        <v>.30</v>
      </c>
      <c r="BL25" s="182">
        <f t="shared" si="11"/>
        <v>0</v>
      </c>
      <c r="BM25" s="182">
        <f t="shared" si="12"/>
        <v>0</v>
      </c>
      <c r="BN25" s="218" t="str">
        <f t="shared" si="25"/>
        <v>.26</v>
      </c>
      <c r="BO25" s="218" t="str">
        <f t="shared" si="26"/>
        <v>.27</v>
      </c>
      <c r="BP25" s="218" t="str">
        <f t="shared" si="13"/>
        <v>.28</v>
      </c>
      <c r="BQ25" s="218" t="str">
        <f t="shared" si="14"/>
        <v>.29</v>
      </c>
      <c r="BR25" s="218" t="str">
        <f t="shared" si="15"/>
        <v>.30</v>
      </c>
      <c r="BS25" s="218">
        <f t="shared" si="16"/>
        <v>0</v>
      </c>
      <c r="BT25" s="218">
        <f t="shared" si="17"/>
        <v>0</v>
      </c>
      <c r="BU25" s="218" t="str">
        <f t="shared" si="27"/>
        <v>.26</v>
      </c>
      <c r="BV25" s="218" t="str">
        <f t="shared" si="28"/>
        <v>.27</v>
      </c>
      <c r="BW25" s="218" t="str">
        <f t="shared" si="18"/>
        <v>.28</v>
      </c>
      <c r="BX25" s="218" t="str">
        <f t="shared" si="19"/>
        <v>.29</v>
      </c>
      <c r="BY25" s="218" t="str">
        <f t="shared" si="20"/>
        <v>.30</v>
      </c>
      <c r="BZ25" s="218">
        <f t="shared" si="21"/>
        <v>0</v>
      </c>
      <c r="CA25" s="218">
        <f t="shared" si="22"/>
        <v>0</v>
      </c>
    </row>
    <row r="26" spans="6:79" ht="12.75">
      <c r="F26" s="191">
        <f>IF('Cal Info'!D29="","",DATEVALUE('Cal Info'!B29&amp;" "&amp;'Cal Info'!C29&amp;", "&amp;'Cal Info'!D29))</f>
      </c>
      <c r="G26" s="192">
        <f>IF('Cal Info'!F29="","",DATEVALUE('Cal Info'!E29&amp;" "&amp;'Cal Info'!F29&amp;", "&amp;'Cal Info'!G29))</f>
      </c>
      <c r="H26" s="193">
        <f>IF('Cal Info'!J29="","",DATEVALUE('Cal Info'!I29&amp;" "&amp;'Cal Info'!J29&amp;", "&amp;'Cal Info'!K29))</f>
      </c>
      <c r="J26" s="182">
        <f t="shared" si="0"/>
        <v>31</v>
      </c>
      <c r="K26" s="182">
        <f t="shared" si="1"/>
        <v>0</v>
      </c>
      <c r="L26" s="182">
        <f t="shared" si="2"/>
        <v>0</v>
      </c>
      <c r="M26" s="182">
        <f t="shared" si="3"/>
        <v>0</v>
      </c>
      <c r="N26" s="182">
        <f t="shared" si="4"/>
        <v>0</v>
      </c>
      <c r="O26" s="182">
        <f t="shared" si="5"/>
        <v>1</v>
      </c>
      <c r="P26" s="182">
        <f t="shared" si="6"/>
        <v>2</v>
      </c>
      <c r="Q26" s="182">
        <v>31</v>
      </c>
      <c r="R26" s="182"/>
      <c r="S26" s="182"/>
      <c r="T26" s="182"/>
      <c r="U26" s="182"/>
      <c r="V26" s="182">
        <v>1</v>
      </c>
      <c r="W26" s="182">
        <v>2</v>
      </c>
      <c r="X26" s="182"/>
      <c r="Y26" s="182"/>
      <c r="Z26" s="182"/>
      <c r="AA26" s="182"/>
      <c r="AB26" s="182"/>
      <c r="AC26" s="182">
        <v>1</v>
      </c>
      <c r="AD26" s="182">
        <v>2</v>
      </c>
      <c r="AE26" s="182"/>
      <c r="AF26" s="182"/>
      <c r="AG26" s="182"/>
      <c r="AH26" s="182"/>
      <c r="AI26" s="182"/>
      <c r="AJ26" s="182">
        <v>1</v>
      </c>
      <c r="AK26" s="182">
        <v>2</v>
      </c>
      <c r="AL26" s="182"/>
      <c r="AM26" s="182"/>
      <c r="AN26" s="182"/>
      <c r="AO26" s="182"/>
      <c r="AP26" s="182"/>
      <c r="AQ26" s="182">
        <v>1</v>
      </c>
      <c r="AR26" s="182">
        <v>2</v>
      </c>
      <c r="AS26" s="182">
        <f ca="1">OFFSET(INDIRECT(VLOOKUP(VLOOKUP(clFiscalYear,rgPerpCal,13,TRUE),rgPerpMons,2,TRUE)),0,0)</f>
        <v>31</v>
      </c>
      <c r="AT26" s="182">
        <f ca="1">OFFSET(INDIRECT(VLOOKUP(VLOOKUP(clFiscalYear,rgPerpCal,13,TRUE),rgPerpMons,2,TRUE)),0,1)</f>
        <v>0</v>
      </c>
      <c r="AU26" s="182">
        <f ca="1">OFFSET(INDIRECT(VLOOKUP(VLOOKUP(clFiscalYear,rgPerpCal,13,TRUE),rgPerpMons,2,TRUE)),0,2)</f>
        <v>0</v>
      </c>
      <c r="AV26" s="182">
        <f ca="1">OFFSET(INDIRECT(VLOOKUP(VLOOKUP(clFiscalYear,rgPerpCal,13,TRUE),rgPerpMons,2,TRUE)),0,3)</f>
        <v>0</v>
      </c>
      <c r="AW26" s="182">
        <f ca="1">OFFSET(INDIRECT(VLOOKUP(VLOOKUP(clFiscalYear,rgPerpCal,13,TRUE),rgPerpMons,2,TRUE)),0,4)</f>
        <v>0</v>
      </c>
      <c r="AX26" s="182">
        <f ca="1">OFFSET(INDIRECT(VLOOKUP(VLOOKUP(clFiscalYear,rgPerpCal,13,TRUE),rgPerpMons,2,TRUE)),0,5)</f>
        <v>1</v>
      </c>
      <c r="AY26" s="182">
        <f ca="1">OFFSET(INDIRECT(VLOOKUP(VLOOKUP(clFiscalYear,rgPerpCal,13,TRUE),rgPerpMons,2,TRUE)),0,6)</f>
        <v>2</v>
      </c>
      <c r="AZ26" s="181">
        <f aca="true" t="shared" si="33" ref="AZ26:BF30">IF(AS26&lt;&gt;0,DATEVALUE(AS26&amp;" December "&amp;clFiscalYear-1),0)</f>
        <v>45291</v>
      </c>
      <c r="BA26" s="181">
        <f t="shared" si="33"/>
        <v>0</v>
      </c>
      <c r="BB26" s="181">
        <f t="shared" si="33"/>
        <v>0</v>
      </c>
      <c r="BC26" s="181">
        <f t="shared" si="33"/>
        <v>0</v>
      </c>
      <c r="BD26" s="181">
        <f t="shared" si="33"/>
        <v>0</v>
      </c>
      <c r="BE26" s="181">
        <f t="shared" si="33"/>
        <v>45261</v>
      </c>
      <c r="BF26" s="181">
        <f t="shared" si="33"/>
        <v>45262</v>
      </c>
      <c r="BG26" s="182" t="str">
        <f t="shared" si="23"/>
        <v>.31</v>
      </c>
      <c r="BH26" s="182">
        <f t="shared" si="24"/>
        <v>0</v>
      </c>
      <c r="BI26" s="182">
        <f t="shared" si="8"/>
        <v>0</v>
      </c>
      <c r="BJ26" s="182">
        <f t="shared" si="9"/>
        <v>0</v>
      </c>
      <c r="BK26" s="182">
        <f t="shared" si="10"/>
        <v>0</v>
      </c>
      <c r="BL26" s="182" t="str">
        <f t="shared" si="11"/>
        <v>.1</v>
      </c>
      <c r="BM26" s="182" t="str">
        <f t="shared" si="12"/>
        <v>.2</v>
      </c>
      <c r="BN26" s="218" t="str">
        <f t="shared" si="25"/>
        <v>.31</v>
      </c>
      <c r="BO26" s="218">
        <f t="shared" si="26"/>
        <v>0</v>
      </c>
      <c r="BP26" s="218">
        <f t="shared" si="13"/>
        <v>0</v>
      </c>
      <c r="BQ26" s="218">
        <f t="shared" si="14"/>
        <v>0</v>
      </c>
      <c r="BR26" s="218">
        <f t="shared" si="15"/>
        <v>0</v>
      </c>
      <c r="BS26" s="218" t="str">
        <f t="shared" si="16"/>
        <v>.1</v>
      </c>
      <c r="BT26" s="218" t="str">
        <f t="shared" si="17"/>
        <v>.2</v>
      </c>
      <c r="BU26" s="218" t="str">
        <f t="shared" si="27"/>
        <v>.31</v>
      </c>
      <c r="BV26" s="218">
        <f t="shared" si="28"/>
        <v>0</v>
      </c>
      <c r="BW26" s="218">
        <f t="shared" si="18"/>
        <v>0</v>
      </c>
      <c r="BX26" s="218">
        <f t="shared" si="19"/>
        <v>0</v>
      </c>
      <c r="BY26" s="218">
        <f t="shared" si="20"/>
        <v>0</v>
      </c>
      <c r="BZ26" s="218" t="str">
        <f t="shared" si="21"/>
        <v>.1</v>
      </c>
      <c r="CA26" s="218" t="str">
        <f t="shared" si="22"/>
        <v>.2</v>
      </c>
    </row>
    <row r="27" spans="6:79" ht="12.75">
      <c r="F27" s="191">
        <f>IF('Cal Info'!D30="","",DATEVALUE('Cal Info'!B30&amp;" "&amp;'Cal Info'!C30&amp;", "&amp;'Cal Info'!D30))</f>
      </c>
      <c r="G27" s="192">
        <f>IF('Cal Info'!F30="","",DATEVALUE('Cal Info'!E30&amp;" "&amp;'Cal Info'!F30&amp;", "&amp;'Cal Info'!G30))</f>
      </c>
      <c r="H27" s="193">
        <f>IF('Cal Info'!J30="","",DATEVALUE('Cal Info'!I30&amp;" "&amp;'Cal Info'!J30&amp;", "&amp;'Cal Info'!K30))</f>
      </c>
      <c r="J27" s="182">
        <f t="shared" si="0"/>
        <v>3</v>
      </c>
      <c r="K27" s="182">
        <f t="shared" si="1"/>
        <v>4</v>
      </c>
      <c r="L27" s="182">
        <f t="shared" si="2"/>
        <v>5</v>
      </c>
      <c r="M27" s="182">
        <f t="shared" si="3"/>
        <v>6</v>
      </c>
      <c r="N27" s="182">
        <f t="shared" si="4"/>
        <v>7</v>
      </c>
      <c r="O27" s="182">
        <f t="shared" si="5"/>
        <v>8</v>
      </c>
      <c r="P27" s="182">
        <f t="shared" si="6"/>
        <v>9</v>
      </c>
      <c r="Q27" s="182">
        <v>3</v>
      </c>
      <c r="R27" s="182">
        <v>4</v>
      </c>
      <c r="S27" s="182">
        <v>5</v>
      </c>
      <c r="T27" s="182">
        <v>6</v>
      </c>
      <c r="U27" s="182">
        <v>7</v>
      </c>
      <c r="V27" s="189">
        <v>8</v>
      </c>
      <c r="W27" s="182">
        <v>9</v>
      </c>
      <c r="X27" s="182">
        <v>3</v>
      </c>
      <c r="Y27" s="182">
        <v>4</v>
      </c>
      <c r="Z27" s="182">
        <v>5</v>
      </c>
      <c r="AA27" s="182">
        <v>6</v>
      </c>
      <c r="AB27" s="182">
        <v>7</v>
      </c>
      <c r="AC27" s="189">
        <v>8</v>
      </c>
      <c r="AD27" s="182">
        <v>9</v>
      </c>
      <c r="AE27" s="182">
        <v>3</v>
      </c>
      <c r="AF27" s="182">
        <v>4</v>
      </c>
      <c r="AG27" s="182">
        <v>5</v>
      </c>
      <c r="AH27" s="182">
        <v>6</v>
      </c>
      <c r="AI27" s="182">
        <v>7</v>
      </c>
      <c r="AJ27" s="189">
        <v>8</v>
      </c>
      <c r="AK27" s="182">
        <v>9</v>
      </c>
      <c r="AL27" s="182">
        <v>3</v>
      </c>
      <c r="AM27" s="182">
        <v>4</v>
      </c>
      <c r="AN27" s="182">
        <v>5</v>
      </c>
      <c r="AO27" s="182">
        <v>6</v>
      </c>
      <c r="AP27" s="182">
        <v>7</v>
      </c>
      <c r="AQ27" s="189">
        <v>8</v>
      </c>
      <c r="AR27" s="182">
        <v>9</v>
      </c>
      <c r="AS27" s="182">
        <f ca="1">OFFSET(INDIRECT(VLOOKUP(VLOOKUP(clFiscalYear,rgPerpCal,13,TRUE),rgPerpMons,2,TRUE)),1,0)</f>
        <v>3</v>
      </c>
      <c r="AT27" s="182">
        <f ca="1">OFFSET(INDIRECT(VLOOKUP(VLOOKUP(clFiscalYear,rgPerpCal,13,TRUE),rgPerpMons,2,TRUE)),1,1)</f>
        <v>4</v>
      </c>
      <c r="AU27" s="182">
        <f ca="1">OFFSET(INDIRECT(VLOOKUP(VLOOKUP(clFiscalYear,rgPerpCal,13,TRUE),rgPerpMons,2,TRUE)),1,2)</f>
        <v>5</v>
      </c>
      <c r="AV27" s="182">
        <f ca="1">OFFSET(INDIRECT(VLOOKUP(VLOOKUP(clFiscalYear,rgPerpCal,13,TRUE),rgPerpMons,2,TRUE)),1,3)</f>
        <v>6</v>
      </c>
      <c r="AW27" s="182">
        <f ca="1">OFFSET(INDIRECT(VLOOKUP(VLOOKUP(clFiscalYear,rgPerpCal,13,TRUE),rgPerpMons,2,TRUE)),1,4)</f>
        <v>7</v>
      </c>
      <c r="AX27" s="182">
        <f ca="1">OFFSET(INDIRECT(VLOOKUP(VLOOKUP(clFiscalYear,rgPerpCal,13,TRUE),rgPerpMons,2,TRUE)),1,5)</f>
        <v>8</v>
      </c>
      <c r="AY27" s="182">
        <f ca="1">OFFSET(INDIRECT(VLOOKUP(VLOOKUP(clFiscalYear,rgPerpCal,13,TRUE),rgPerpMons,2,TRUE)),1,6)</f>
        <v>9</v>
      </c>
      <c r="AZ27" s="181">
        <f t="shared" si="33"/>
        <v>45263</v>
      </c>
      <c r="BA27" s="181">
        <f t="shared" si="33"/>
        <v>45264</v>
      </c>
      <c r="BB27" s="181">
        <f t="shared" si="33"/>
        <v>45265</v>
      </c>
      <c r="BC27" s="181">
        <f t="shared" si="33"/>
        <v>45266</v>
      </c>
      <c r="BD27" s="181">
        <f t="shared" si="33"/>
        <v>45267</v>
      </c>
      <c r="BE27" s="181">
        <f t="shared" si="33"/>
        <v>45268</v>
      </c>
      <c r="BF27" s="181">
        <f t="shared" si="33"/>
        <v>45269</v>
      </c>
      <c r="BG27" s="182" t="str">
        <f t="shared" si="23"/>
        <v>.3</v>
      </c>
      <c r="BH27" s="182" t="str">
        <f t="shared" si="24"/>
        <v>.4</v>
      </c>
      <c r="BI27" s="182" t="str">
        <f t="shared" si="8"/>
        <v>.5</v>
      </c>
      <c r="BJ27" s="182" t="str">
        <f t="shared" si="9"/>
        <v>.6</v>
      </c>
      <c r="BK27" s="182" t="str">
        <f t="shared" si="10"/>
        <v>.7</v>
      </c>
      <c r="BL27" s="182" t="str">
        <f t="shared" si="11"/>
        <v>.8</v>
      </c>
      <c r="BM27" s="182" t="str">
        <f t="shared" si="12"/>
        <v>.9</v>
      </c>
      <c r="BN27" s="218" t="str">
        <f t="shared" si="25"/>
        <v>.3</v>
      </c>
      <c r="BO27" s="218" t="str">
        <f t="shared" si="26"/>
        <v>.4</v>
      </c>
      <c r="BP27" s="218" t="str">
        <f t="shared" si="13"/>
        <v>.5</v>
      </c>
      <c r="BQ27" s="218" t="str">
        <f t="shared" si="14"/>
        <v>.6</v>
      </c>
      <c r="BR27" s="218" t="str">
        <f t="shared" si="15"/>
        <v>.7</v>
      </c>
      <c r="BS27" s="218" t="str">
        <f t="shared" si="16"/>
        <v>.8</v>
      </c>
      <c r="BT27" s="218" t="str">
        <f t="shared" si="17"/>
        <v>.9</v>
      </c>
      <c r="BU27" s="218" t="str">
        <f t="shared" si="27"/>
        <v>.3</v>
      </c>
      <c r="BV27" s="218" t="str">
        <f t="shared" si="28"/>
        <v>.4</v>
      </c>
      <c r="BW27" s="218" t="str">
        <f t="shared" si="18"/>
        <v>.5</v>
      </c>
      <c r="BX27" s="218" t="str">
        <f t="shared" si="19"/>
        <v>.6</v>
      </c>
      <c r="BY27" s="218" t="str">
        <f t="shared" si="20"/>
        <v>.7</v>
      </c>
      <c r="BZ27" s="218" t="str">
        <f t="shared" si="21"/>
        <v>.8</v>
      </c>
      <c r="CA27" s="218" t="str">
        <f t="shared" si="22"/>
        <v>.9</v>
      </c>
    </row>
    <row r="28" spans="6:79" ht="12.75">
      <c r="F28" s="191">
        <f>IF('Cal Info'!D31="","",DATEVALUE('Cal Info'!B31&amp;" "&amp;'Cal Info'!C31&amp;", "&amp;'Cal Info'!D31))</f>
      </c>
      <c r="G28" s="192">
        <f>IF('Cal Info'!F31="","",DATEVALUE('Cal Info'!E31&amp;" "&amp;'Cal Info'!F31&amp;", "&amp;'Cal Info'!G31))</f>
      </c>
      <c r="H28" s="202">
        <f>IF('Cal Info'!J31="","",DATEVALUE('Cal Info'!I31&amp;" "&amp;'Cal Info'!J31&amp;", "&amp;'Cal Info'!K31))</f>
      </c>
      <c r="J28" s="182">
        <f t="shared" si="0"/>
        <v>10</v>
      </c>
      <c r="K28" s="182">
        <f t="shared" si="1"/>
        <v>11</v>
      </c>
      <c r="L28" s="182">
        <f t="shared" si="2"/>
        <v>12</v>
      </c>
      <c r="M28" s="182">
        <f t="shared" si="3"/>
        <v>13</v>
      </c>
      <c r="N28" s="182">
        <f t="shared" si="4"/>
        <v>14</v>
      </c>
      <c r="O28" s="182">
        <f t="shared" si="5"/>
        <v>15</v>
      </c>
      <c r="P28" s="182">
        <f t="shared" si="6"/>
        <v>16</v>
      </c>
      <c r="Q28" s="182">
        <v>10</v>
      </c>
      <c r="R28" s="194">
        <v>11</v>
      </c>
      <c r="S28" s="182">
        <v>12</v>
      </c>
      <c r="T28" s="182">
        <v>13</v>
      </c>
      <c r="U28" s="182">
        <v>14</v>
      </c>
      <c r="V28" s="182">
        <v>15</v>
      </c>
      <c r="W28" s="182">
        <v>16</v>
      </c>
      <c r="X28" s="182">
        <v>10</v>
      </c>
      <c r="Y28" s="194">
        <v>11</v>
      </c>
      <c r="Z28" s="182">
        <v>12</v>
      </c>
      <c r="AA28" s="182">
        <v>13</v>
      </c>
      <c r="AB28" s="182">
        <v>14</v>
      </c>
      <c r="AC28" s="182">
        <v>15</v>
      </c>
      <c r="AD28" s="182">
        <v>16</v>
      </c>
      <c r="AE28" s="182">
        <v>10</v>
      </c>
      <c r="AF28" s="194">
        <v>11</v>
      </c>
      <c r="AG28" s="182">
        <v>12</v>
      </c>
      <c r="AH28" s="182">
        <v>13</v>
      </c>
      <c r="AI28" s="182">
        <v>14</v>
      </c>
      <c r="AJ28" s="182">
        <v>15</v>
      </c>
      <c r="AK28" s="182">
        <v>16</v>
      </c>
      <c r="AL28" s="182">
        <v>10</v>
      </c>
      <c r="AM28" s="194">
        <v>11</v>
      </c>
      <c r="AN28" s="182">
        <v>12</v>
      </c>
      <c r="AO28" s="182">
        <v>13</v>
      </c>
      <c r="AP28" s="182">
        <v>14</v>
      </c>
      <c r="AQ28" s="182">
        <v>15</v>
      </c>
      <c r="AR28" s="182">
        <v>16</v>
      </c>
      <c r="AS28" s="182">
        <f ca="1">OFFSET(INDIRECT(VLOOKUP(VLOOKUP(clFiscalYear,rgPerpCal,13,TRUE),rgPerpMons,2,TRUE)),2,0)</f>
        <v>10</v>
      </c>
      <c r="AT28" s="182">
        <f ca="1">OFFSET(INDIRECT(VLOOKUP(VLOOKUP(clFiscalYear,rgPerpCal,13,TRUE),rgPerpMons,2,TRUE)),2,1)</f>
        <v>11</v>
      </c>
      <c r="AU28" s="182">
        <f ca="1">OFFSET(INDIRECT(VLOOKUP(VLOOKUP(clFiscalYear,rgPerpCal,13,TRUE),rgPerpMons,2,TRUE)),2,2)</f>
        <v>12</v>
      </c>
      <c r="AV28" s="182">
        <f ca="1">OFFSET(INDIRECT(VLOOKUP(VLOOKUP(clFiscalYear,rgPerpCal,13,TRUE),rgPerpMons,2,TRUE)),2,3)</f>
        <v>13</v>
      </c>
      <c r="AW28" s="182">
        <f ca="1">OFFSET(INDIRECT(VLOOKUP(VLOOKUP(clFiscalYear,rgPerpCal,13,TRUE),rgPerpMons,2,TRUE)),2,4)</f>
        <v>14</v>
      </c>
      <c r="AX28" s="182">
        <f ca="1">OFFSET(INDIRECT(VLOOKUP(VLOOKUP(clFiscalYear,rgPerpCal,13,TRUE),rgPerpMons,2,TRUE)),2,5)</f>
        <v>15</v>
      </c>
      <c r="AY28" s="182">
        <f ca="1">OFFSET(INDIRECT(VLOOKUP(VLOOKUP(clFiscalYear,rgPerpCal,13,TRUE),rgPerpMons,2,TRUE)),2,6)</f>
        <v>16</v>
      </c>
      <c r="AZ28" s="181">
        <f t="shared" si="33"/>
        <v>45270</v>
      </c>
      <c r="BA28" s="181">
        <f t="shared" si="33"/>
        <v>45271</v>
      </c>
      <c r="BB28" s="181">
        <f t="shared" si="33"/>
        <v>45272</v>
      </c>
      <c r="BC28" s="181">
        <f t="shared" si="33"/>
        <v>45273</v>
      </c>
      <c r="BD28" s="181">
        <f t="shared" si="33"/>
        <v>45274</v>
      </c>
      <c r="BE28" s="181">
        <f t="shared" si="33"/>
        <v>45275</v>
      </c>
      <c r="BF28" s="181">
        <f t="shared" si="33"/>
        <v>45276</v>
      </c>
      <c r="BG28" s="182" t="str">
        <f t="shared" si="23"/>
        <v>.10</v>
      </c>
      <c r="BH28" s="182" t="str">
        <f t="shared" si="24"/>
        <v>.11</v>
      </c>
      <c r="BI28" s="182" t="str">
        <f t="shared" si="8"/>
        <v>.12</v>
      </c>
      <c r="BJ28" s="182" t="str">
        <f t="shared" si="9"/>
        <v>.13</v>
      </c>
      <c r="BK28" s="182" t="str">
        <f t="shared" si="10"/>
        <v>.14</v>
      </c>
      <c r="BL28" s="182" t="str">
        <f t="shared" si="11"/>
        <v>.15</v>
      </c>
      <c r="BM28" s="182" t="str">
        <f t="shared" si="12"/>
        <v>.16</v>
      </c>
      <c r="BN28" s="218" t="str">
        <f t="shared" si="25"/>
        <v>.10</v>
      </c>
      <c r="BO28" s="218" t="str">
        <f t="shared" si="26"/>
        <v>.11</v>
      </c>
      <c r="BP28" s="218" t="str">
        <f t="shared" si="13"/>
        <v>.12</v>
      </c>
      <c r="BQ28" s="218" t="str">
        <f t="shared" si="14"/>
        <v>.13</v>
      </c>
      <c r="BR28" s="218" t="str">
        <f t="shared" si="15"/>
        <v>.14</v>
      </c>
      <c r="BS28" s="218" t="str">
        <f t="shared" si="16"/>
        <v>.15</v>
      </c>
      <c r="BT28" s="218" t="str">
        <f t="shared" si="17"/>
        <v>.16</v>
      </c>
      <c r="BU28" s="218" t="str">
        <f t="shared" si="27"/>
        <v>.10</v>
      </c>
      <c r="BV28" s="218" t="str">
        <f t="shared" si="28"/>
        <v>.11</v>
      </c>
      <c r="BW28" s="218" t="str">
        <f t="shared" si="18"/>
        <v>.12</v>
      </c>
      <c r="BX28" s="218" t="str">
        <f t="shared" si="19"/>
        <v>.13</v>
      </c>
      <c r="BY28" s="218" t="str">
        <f t="shared" si="20"/>
        <v>.14</v>
      </c>
      <c r="BZ28" s="218" t="str">
        <f t="shared" si="21"/>
        <v>.15</v>
      </c>
      <c r="CA28" s="218" t="str">
        <f t="shared" si="22"/>
        <v>.16</v>
      </c>
    </row>
    <row r="29" spans="6:79" ht="12.75">
      <c r="F29" s="191">
        <f>IF('Cal Info'!D32="","",DATEVALUE('Cal Info'!B32&amp;" "&amp;'Cal Info'!C32&amp;", "&amp;'Cal Info'!D32))</f>
      </c>
      <c r="G29" s="192">
        <f>IF('Cal Info'!F32="","",DATEVALUE('Cal Info'!E32&amp;" "&amp;'Cal Info'!F32&amp;", "&amp;'Cal Info'!G32))</f>
      </c>
      <c r="H29" s="223"/>
      <c r="J29" s="182">
        <f t="shared" si="0"/>
        <v>17</v>
      </c>
      <c r="K29" s="182">
        <f t="shared" si="1"/>
        <v>18</v>
      </c>
      <c r="L29" s="182">
        <f t="shared" si="2"/>
        <v>19</v>
      </c>
      <c r="M29" s="182">
        <f t="shared" si="3"/>
        <v>20</v>
      </c>
      <c r="N29" s="182">
        <f t="shared" si="4"/>
        <v>21</v>
      </c>
      <c r="O29" s="182">
        <f t="shared" si="5"/>
        <v>22</v>
      </c>
      <c r="P29" s="182">
        <f t="shared" si="6"/>
        <v>23</v>
      </c>
      <c r="Q29" s="182">
        <v>17</v>
      </c>
      <c r="R29" s="182">
        <v>18</v>
      </c>
      <c r="S29" s="182">
        <v>19</v>
      </c>
      <c r="T29" s="194">
        <v>20</v>
      </c>
      <c r="U29" s="182">
        <v>21</v>
      </c>
      <c r="V29" s="182">
        <v>22</v>
      </c>
      <c r="W29" s="182">
        <v>23</v>
      </c>
      <c r="X29" s="182">
        <v>17</v>
      </c>
      <c r="Y29" s="182">
        <v>18</v>
      </c>
      <c r="Z29" s="182">
        <v>19</v>
      </c>
      <c r="AA29" s="194">
        <v>20</v>
      </c>
      <c r="AB29" s="182">
        <v>21</v>
      </c>
      <c r="AC29" s="182">
        <v>22</v>
      </c>
      <c r="AD29" s="182">
        <v>23</v>
      </c>
      <c r="AE29" s="182">
        <v>17</v>
      </c>
      <c r="AF29" s="182">
        <v>18</v>
      </c>
      <c r="AG29" s="182">
        <v>19</v>
      </c>
      <c r="AH29" s="194">
        <v>20</v>
      </c>
      <c r="AI29" s="182">
        <v>21</v>
      </c>
      <c r="AJ29" s="182">
        <v>22</v>
      </c>
      <c r="AK29" s="182">
        <v>23</v>
      </c>
      <c r="AL29" s="182">
        <v>17</v>
      </c>
      <c r="AM29" s="182">
        <v>18</v>
      </c>
      <c r="AN29" s="182">
        <v>19</v>
      </c>
      <c r="AO29" s="194">
        <v>20</v>
      </c>
      <c r="AP29" s="182">
        <v>21</v>
      </c>
      <c r="AQ29" s="182">
        <v>22</v>
      </c>
      <c r="AR29" s="182">
        <v>23</v>
      </c>
      <c r="AS29" s="182">
        <f ca="1">OFFSET(INDIRECT(VLOOKUP(VLOOKUP(clFiscalYear,rgPerpCal,13,TRUE),rgPerpMons,2,TRUE)),3,0)</f>
        <v>17</v>
      </c>
      <c r="AT29" s="182">
        <f ca="1">OFFSET(INDIRECT(VLOOKUP(VLOOKUP(clFiscalYear,rgPerpCal,13,TRUE),rgPerpMons,2,TRUE)),3,1)</f>
        <v>18</v>
      </c>
      <c r="AU29" s="182">
        <f ca="1">OFFSET(INDIRECT(VLOOKUP(VLOOKUP(clFiscalYear,rgPerpCal,13,TRUE),rgPerpMons,2,TRUE)),3,2)</f>
        <v>19</v>
      </c>
      <c r="AV29" s="182">
        <f ca="1">OFFSET(INDIRECT(VLOOKUP(VLOOKUP(clFiscalYear,rgPerpCal,13,TRUE),rgPerpMons,2,TRUE)),3,3)</f>
        <v>20</v>
      </c>
      <c r="AW29" s="182">
        <f ca="1">OFFSET(INDIRECT(VLOOKUP(VLOOKUP(clFiscalYear,rgPerpCal,13,TRUE),rgPerpMons,2,TRUE)),3,4)</f>
        <v>21</v>
      </c>
      <c r="AX29" s="182">
        <f ca="1">OFFSET(INDIRECT(VLOOKUP(VLOOKUP(clFiscalYear,rgPerpCal,13,TRUE),rgPerpMons,2,TRUE)),3,5)</f>
        <v>22</v>
      </c>
      <c r="AY29" s="182">
        <f ca="1">OFFSET(INDIRECT(VLOOKUP(VLOOKUP(clFiscalYear,rgPerpCal,13,TRUE),rgPerpMons,2,TRUE)),3,6)</f>
        <v>23</v>
      </c>
      <c r="AZ29" s="181">
        <f t="shared" si="33"/>
        <v>45277</v>
      </c>
      <c r="BA29" s="181">
        <f t="shared" si="33"/>
        <v>45278</v>
      </c>
      <c r="BB29" s="181">
        <f t="shared" si="33"/>
        <v>45279</v>
      </c>
      <c r="BC29" s="181">
        <f t="shared" si="33"/>
        <v>45280</v>
      </c>
      <c r="BD29" s="181">
        <f t="shared" si="33"/>
        <v>45281</v>
      </c>
      <c r="BE29" s="181">
        <f t="shared" si="33"/>
        <v>45282</v>
      </c>
      <c r="BF29" s="181">
        <f t="shared" si="33"/>
        <v>45283</v>
      </c>
      <c r="BG29" s="182" t="str">
        <f t="shared" si="23"/>
        <v>.17</v>
      </c>
      <c r="BH29" s="182" t="str">
        <f t="shared" si="24"/>
        <v>.18</v>
      </c>
      <c r="BI29" s="182" t="str">
        <f t="shared" si="8"/>
        <v>.19</v>
      </c>
      <c r="BJ29" s="182" t="str">
        <f t="shared" si="9"/>
        <v>.20</v>
      </c>
      <c r="BK29" s="182" t="str">
        <f t="shared" si="10"/>
        <v>.21</v>
      </c>
      <c r="BL29" s="182" t="str">
        <f t="shared" si="11"/>
        <v>.22</v>
      </c>
      <c r="BM29" s="182" t="str">
        <f t="shared" si="12"/>
        <v>.23</v>
      </c>
      <c r="BN29" s="218" t="str">
        <f t="shared" si="25"/>
        <v>.17</v>
      </c>
      <c r="BO29" s="218" t="str">
        <f t="shared" si="26"/>
        <v>.18</v>
      </c>
      <c r="BP29" s="218" t="str">
        <f t="shared" si="13"/>
        <v>.19</v>
      </c>
      <c r="BQ29" s="218" t="str">
        <f t="shared" si="14"/>
        <v>.20</v>
      </c>
      <c r="BR29" s="218" t="str">
        <f t="shared" si="15"/>
        <v>.21</v>
      </c>
      <c r="BS29" s="218" t="str">
        <f t="shared" si="16"/>
        <v>.22</v>
      </c>
      <c r="BT29" s="218" t="str">
        <f t="shared" si="17"/>
        <v>.23</v>
      </c>
      <c r="BU29" s="218" t="str">
        <f t="shared" si="27"/>
        <v>.17</v>
      </c>
      <c r="BV29" s="218" t="str">
        <f t="shared" si="28"/>
        <v>.18</v>
      </c>
      <c r="BW29" s="218" t="str">
        <f t="shared" si="18"/>
        <v>.19</v>
      </c>
      <c r="BX29" s="218" t="str">
        <f t="shared" si="19"/>
        <v>.20</v>
      </c>
      <c r="BY29" s="218" t="str">
        <f t="shared" si="20"/>
        <v>.21</v>
      </c>
      <c r="BZ29" s="218" t="str">
        <f t="shared" si="21"/>
        <v>.22</v>
      </c>
      <c r="CA29" s="218" t="str">
        <f t="shared" si="22"/>
        <v>.23</v>
      </c>
    </row>
    <row r="30" spans="6:79" ht="12.75">
      <c r="F30" s="191">
        <f>IF('Cal Info'!D33="","",DATEVALUE('Cal Info'!B33&amp;" "&amp;'Cal Info'!C33&amp;", "&amp;'Cal Info'!D33))</f>
      </c>
      <c r="G30" s="192">
        <f>IF('Cal Info'!F33="","",DATEVALUE('Cal Info'!E33&amp;" "&amp;'Cal Info'!F33&amp;", "&amp;'Cal Info'!G33))</f>
      </c>
      <c r="H30" s="195"/>
      <c r="J30" s="182">
        <f t="shared" si="0"/>
        <v>24</v>
      </c>
      <c r="K30" s="182">
        <f t="shared" si="1"/>
        <v>25</v>
      </c>
      <c r="L30" s="182">
        <f t="shared" si="2"/>
        <v>26</v>
      </c>
      <c r="M30" s="182">
        <f t="shared" si="3"/>
        <v>27</v>
      </c>
      <c r="N30" s="182">
        <f t="shared" si="4"/>
        <v>28</v>
      </c>
      <c r="O30" s="182">
        <f t="shared" si="5"/>
        <v>29</v>
      </c>
      <c r="P30" s="182">
        <f t="shared" si="6"/>
        <v>30</v>
      </c>
      <c r="Q30" s="182">
        <v>24</v>
      </c>
      <c r="R30" s="197">
        <v>25</v>
      </c>
      <c r="S30" s="182">
        <v>26</v>
      </c>
      <c r="T30" s="182">
        <v>27</v>
      </c>
      <c r="U30" s="182">
        <v>28</v>
      </c>
      <c r="V30" s="182">
        <v>29</v>
      </c>
      <c r="W30" s="182">
        <v>30</v>
      </c>
      <c r="X30" s="182">
        <v>24</v>
      </c>
      <c r="Y30" s="197">
        <v>25</v>
      </c>
      <c r="Z30" s="182">
        <v>26</v>
      </c>
      <c r="AA30" s="182">
        <v>27</v>
      </c>
      <c r="AB30" s="182">
        <v>28</v>
      </c>
      <c r="AC30" s="182">
        <v>29</v>
      </c>
      <c r="AD30" s="182">
        <v>30</v>
      </c>
      <c r="AE30" s="182">
        <v>24</v>
      </c>
      <c r="AF30" s="197">
        <v>25</v>
      </c>
      <c r="AG30" s="182">
        <v>26</v>
      </c>
      <c r="AH30" s="182">
        <v>27</v>
      </c>
      <c r="AI30" s="182">
        <v>28</v>
      </c>
      <c r="AJ30" s="182"/>
      <c r="AK30" s="182">
        <v>30</v>
      </c>
      <c r="AL30" s="182">
        <v>24</v>
      </c>
      <c r="AM30" s="197">
        <v>25</v>
      </c>
      <c r="AN30" s="182">
        <v>26</v>
      </c>
      <c r="AO30" s="182">
        <v>27</v>
      </c>
      <c r="AP30" s="182">
        <v>28</v>
      </c>
      <c r="AQ30" s="182">
        <v>29</v>
      </c>
      <c r="AR30" s="182"/>
      <c r="AS30" s="182">
        <f ca="1">OFFSET(INDIRECT(VLOOKUP(VLOOKUP(clFiscalYear,rgPerpCal,13,TRUE),rgPerpMons,2,TRUE)),4,0)</f>
        <v>24</v>
      </c>
      <c r="AT30" s="182">
        <f ca="1">OFFSET(INDIRECT(VLOOKUP(VLOOKUP(clFiscalYear,rgPerpCal,13,TRUE),rgPerpMons,2,TRUE)),4,1)</f>
        <v>25</v>
      </c>
      <c r="AU30" s="182">
        <f ca="1">OFFSET(INDIRECT(VLOOKUP(VLOOKUP(clFiscalYear,rgPerpCal,13,TRUE),rgPerpMons,2,TRUE)),4,2)</f>
        <v>26</v>
      </c>
      <c r="AV30" s="182">
        <f ca="1">OFFSET(INDIRECT(VLOOKUP(VLOOKUP(clFiscalYear,rgPerpCal,13,TRUE),rgPerpMons,2,TRUE)),4,3)</f>
        <v>27</v>
      </c>
      <c r="AW30" s="182">
        <f ca="1">OFFSET(INDIRECT(VLOOKUP(VLOOKUP(clFiscalYear,rgPerpCal,13,TRUE),rgPerpMons,2,TRUE)),4,4)</f>
        <v>28</v>
      </c>
      <c r="AX30" s="182">
        <f ca="1">OFFSET(INDIRECT(VLOOKUP(VLOOKUP(clFiscalYear,rgPerpCal,13,TRUE),rgPerpMons,2,TRUE)),4,5)</f>
        <v>29</v>
      </c>
      <c r="AY30" s="182">
        <f ca="1">OFFSET(INDIRECT(VLOOKUP(VLOOKUP(clFiscalYear,rgPerpCal,13,TRUE),rgPerpMons,2,TRUE)),4,6)</f>
        <v>30</v>
      </c>
      <c r="AZ30" s="181">
        <f t="shared" si="33"/>
        <v>45284</v>
      </c>
      <c r="BA30" s="181">
        <f t="shared" si="33"/>
        <v>45285</v>
      </c>
      <c r="BB30" s="181">
        <f t="shared" si="33"/>
        <v>45286</v>
      </c>
      <c r="BC30" s="181">
        <f t="shared" si="33"/>
        <v>45287</v>
      </c>
      <c r="BD30" s="181">
        <f t="shared" si="33"/>
        <v>45288</v>
      </c>
      <c r="BE30" s="181">
        <f t="shared" si="33"/>
        <v>45289</v>
      </c>
      <c r="BF30" s="181">
        <f t="shared" si="33"/>
        <v>45290</v>
      </c>
      <c r="BG30" s="182" t="str">
        <f t="shared" si="23"/>
        <v>.24</v>
      </c>
      <c r="BH30" s="182" t="str">
        <f t="shared" si="24"/>
        <v>.25</v>
      </c>
      <c r="BI30" s="182" t="str">
        <f t="shared" si="8"/>
        <v>.26</v>
      </c>
      <c r="BJ30" s="182" t="str">
        <f t="shared" si="9"/>
        <v>.27</v>
      </c>
      <c r="BK30" s="182" t="str">
        <f t="shared" si="10"/>
        <v>.28</v>
      </c>
      <c r="BL30" s="182" t="str">
        <f t="shared" si="11"/>
        <v>.29</v>
      </c>
      <c r="BM30" s="182" t="str">
        <f t="shared" si="12"/>
        <v>.30</v>
      </c>
      <c r="BN30" s="218" t="str">
        <f t="shared" si="25"/>
        <v>.24</v>
      </c>
      <c r="BO30" s="218" t="str">
        <f t="shared" si="26"/>
        <v>.25</v>
      </c>
      <c r="BP30" s="218" t="str">
        <f t="shared" si="13"/>
        <v>.26</v>
      </c>
      <c r="BQ30" s="218" t="str">
        <f t="shared" si="14"/>
        <v>.27</v>
      </c>
      <c r="BR30" s="218" t="str">
        <f t="shared" si="15"/>
        <v>.28</v>
      </c>
      <c r="BS30" s="218" t="str">
        <f t="shared" si="16"/>
        <v>.29</v>
      </c>
      <c r="BT30" s="218" t="str">
        <f t="shared" si="17"/>
        <v>.30</v>
      </c>
      <c r="BU30" s="218" t="str">
        <f t="shared" si="27"/>
        <v>.24</v>
      </c>
      <c r="BV30" s="218" t="str">
        <f t="shared" si="28"/>
        <v>.25</v>
      </c>
      <c r="BW30" s="218" t="str">
        <f t="shared" si="18"/>
        <v>.26</v>
      </c>
      <c r="BX30" s="218" t="str">
        <f t="shared" si="19"/>
        <v>.27</v>
      </c>
      <c r="BY30" s="218" t="str">
        <f t="shared" si="20"/>
        <v>.28</v>
      </c>
      <c r="BZ30" s="218" t="str">
        <f t="shared" si="21"/>
        <v>.29</v>
      </c>
      <c r="CA30" s="218" t="str">
        <f t="shared" si="22"/>
        <v>.30</v>
      </c>
    </row>
    <row r="31" spans="6:79" ht="12.75">
      <c r="F31" s="191">
        <f>IF('Cal Info'!D34="","",DATEVALUE('Cal Info'!B34&amp;" "&amp;'Cal Info'!C34&amp;", "&amp;'Cal Info'!D34))</f>
      </c>
      <c r="G31" s="192">
        <f>IF('Cal Info'!F34="","",DATEVALUE('Cal Info'!E34&amp;" "&amp;'Cal Info'!F34&amp;", "&amp;'Cal Info'!G34))</f>
      </c>
      <c r="H31" s="195"/>
      <c r="J31" s="182">
        <f t="shared" si="0"/>
        <v>0</v>
      </c>
      <c r="K31" s="182">
        <f t="shared" si="1"/>
        <v>1</v>
      </c>
      <c r="L31" s="182">
        <f t="shared" si="2"/>
        <v>2</v>
      </c>
      <c r="M31" s="182">
        <f t="shared" si="3"/>
        <v>3</v>
      </c>
      <c r="N31" s="182">
        <f t="shared" si="4"/>
        <v>4</v>
      </c>
      <c r="O31" s="182">
        <f t="shared" si="5"/>
        <v>5</v>
      </c>
      <c r="P31" s="182">
        <f t="shared" si="6"/>
        <v>6</v>
      </c>
      <c r="Q31" s="182">
        <v>30</v>
      </c>
      <c r="R31" s="182">
        <v>31</v>
      </c>
      <c r="S31" s="182"/>
      <c r="T31" s="182"/>
      <c r="U31" s="182"/>
      <c r="V31" s="182"/>
      <c r="W31" s="182">
        <v>1</v>
      </c>
      <c r="X31" s="182">
        <v>30</v>
      </c>
      <c r="Y31" s="182"/>
      <c r="Z31" s="182"/>
      <c r="AA31" s="182"/>
      <c r="AB31" s="182"/>
      <c r="AC31" s="182"/>
      <c r="AD31" s="182">
        <v>1</v>
      </c>
      <c r="AE31" s="182"/>
      <c r="AF31" s="182"/>
      <c r="AG31" s="182"/>
      <c r="AH31" s="182"/>
      <c r="AI31" s="182"/>
      <c r="AJ31" s="182"/>
      <c r="AK31" s="182">
        <v>1</v>
      </c>
      <c r="AL31" s="182"/>
      <c r="AM31" s="182"/>
      <c r="AN31" s="182"/>
      <c r="AO31" s="182"/>
      <c r="AP31" s="182"/>
      <c r="AQ31" s="182"/>
      <c r="AR31" s="182">
        <v>1</v>
      </c>
      <c r="AS31" s="182">
        <f ca="1">OFFSET(INDIRECT(VLOOKUP(VLOOKUP(clFiscalYear,rgPerpCal,2,TRUE),rgPerpMons,2,TRUE)),0,0)</f>
        <v>0</v>
      </c>
      <c r="AT31" s="182">
        <f ca="1">OFFSET(INDIRECT(VLOOKUP(VLOOKUP(clFiscalYear,rgPerpCal,2,TRUE),rgPerpMons,2,TRUE)),0,1)</f>
        <v>1</v>
      </c>
      <c r="AU31" s="182">
        <f ca="1">OFFSET(INDIRECT(VLOOKUP(VLOOKUP(clFiscalYear,rgPerpCal,2,TRUE),rgPerpMons,2,TRUE)),0,2)</f>
        <v>2</v>
      </c>
      <c r="AV31" s="182">
        <f ca="1">OFFSET(INDIRECT(VLOOKUP(VLOOKUP(clFiscalYear,rgPerpCal,2,TRUE),rgPerpMons,2,TRUE)),0,3)</f>
        <v>3</v>
      </c>
      <c r="AW31" s="182">
        <f ca="1">OFFSET(INDIRECT(VLOOKUP(VLOOKUP(clFiscalYear,rgPerpCal,2,TRUE),rgPerpMons,2,TRUE)),0,4)</f>
        <v>4</v>
      </c>
      <c r="AX31" s="182">
        <f ca="1">OFFSET(INDIRECT(VLOOKUP(VLOOKUP(clFiscalYear,rgPerpCal,2,TRUE),rgPerpMons,2,TRUE)),0,5)</f>
        <v>5</v>
      </c>
      <c r="AY31" s="182">
        <f ca="1">OFFSET(INDIRECT(VLOOKUP(VLOOKUP(clFiscalYear,rgPerpCal,2,TRUE),rgPerpMons,2,TRUE)),0,6)</f>
        <v>6</v>
      </c>
      <c r="AZ31" s="181">
        <f aca="true" t="shared" si="34" ref="AZ31:BF35">IF(AS31&lt;&gt;0,DATEVALUE(AS31&amp;" January "&amp;clFiscalYear),0)</f>
        <v>0</v>
      </c>
      <c r="BA31" s="181">
        <f t="shared" si="34"/>
        <v>45292</v>
      </c>
      <c r="BB31" s="181">
        <f t="shared" si="34"/>
        <v>45293</v>
      </c>
      <c r="BC31" s="181">
        <f t="shared" si="34"/>
        <v>45294</v>
      </c>
      <c r="BD31" s="181">
        <f t="shared" si="34"/>
        <v>45295</v>
      </c>
      <c r="BE31" s="181">
        <f t="shared" si="34"/>
        <v>45296</v>
      </c>
      <c r="BF31" s="181">
        <f t="shared" si="34"/>
        <v>45297</v>
      </c>
      <c r="BG31" s="182">
        <f t="shared" si="23"/>
        <v>0</v>
      </c>
      <c r="BH31" s="182" t="str">
        <f t="shared" si="24"/>
        <v>.1</v>
      </c>
      <c r="BI31" s="182" t="str">
        <f t="shared" si="8"/>
        <v>.2</v>
      </c>
      <c r="BJ31" s="182" t="str">
        <f t="shared" si="9"/>
        <v>.3</v>
      </c>
      <c r="BK31" s="182" t="str">
        <f t="shared" si="10"/>
        <v>.4</v>
      </c>
      <c r="BL31" s="182" t="str">
        <f t="shared" si="11"/>
        <v>.5</v>
      </c>
      <c r="BM31" s="182" t="str">
        <f t="shared" si="12"/>
        <v>.6</v>
      </c>
      <c r="BN31" s="218">
        <f t="shared" si="25"/>
        <v>0</v>
      </c>
      <c r="BO31" s="218" t="str">
        <f t="shared" si="26"/>
        <v>.1</v>
      </c>
      <c r="BP31" s="218" t="str">
        <f t="shared" si="13"/>
        <v>.2</v>
      </c>
      <c r="BQ31" s="218" t="str">
        <f t="shared" si="14"/>
        <v>.3</v>
      </c>
      <c r="BR31" s="218" t="str">
        <f t="shared" si="15"/>
        <v>.4</v>
      </c>
      <c r="BS31" s="218" t="str">
        <f t="shared" si="16"/>
        <v>.5</v>
      </c>
      <c r="BT31" s="218" t="str">
        <f t="shared" si="17"/>
        <v>.6</v>
      </c>
      <c r="BU31" s="218">
        <f t="shared" si="27"/>
        <v>0</v>
      </c>
      <c r="BV31" s="218" t="str">
        <f t="shared" si="28"/>
        <v>.1</v>
      </c>
      <c r="BW31" s="218" t="str">
        <f t="shared" si="18"/>
        <v>.2</v>
      </c>
      <c r="BX31" s="218" t="str">
        <f t="shared" si="19"/>
        <v>.3</v>
      </c>
      <c r="BY31" s="218" t="str">
        <f t="shared" si="20"/>
        <v>.4</v>
      </c>
      <c r="BZ31" s="218" t="str">
        <f t="shared" si="21"/>
        <v>.5</v>
      </c>
      <c r="CA31" s="218" t="str">
        <f t="shared" si="22"/>
        <v>.6</v>
      </c>
    </row>
    <row r="32" spans="6:79" ht="12.75">
      <c r="F32" s="191">
        <f>IF('Cal Info'!D35="","",DATEVALUE('Cal Info'!B35&amp;" "&amp;'Cal Info'!C35&amp;", "&amp;'Cal Info'!D35))</f>
      </c>
      <c r="G32" s="192">
        <f>IF('Cal Info'!F35="","",DATEVALUE('Cal Info'!E35&amp;" "&amp;'Cal Info'!F35&amp;", "&amp;'Cal Info'!G35))</f>
      </c>
      <c r="H32" s="195"/>
      <c r="J32" s="182">
        <f t="shared" si="0"/>
        <v>7</v>
      </c>
      <c r="K32" s="182">
        <f t="shared" si="1"/>
        <v>8</v>
      </c>
      <c r="L32" s="182">
        <f t="shared" si="2"/>
        <v>9</v>
      </c>
      <c r="M32" s="182">
        <f t="shared" si="3"/>
        <v>10</v>
      </c>
      <c r="N32" s="182">
        <f t="shared" si="4"/>
        <v>11</v>
      </c>
      <c r="O32" s="182">
        <f t="shared" si="5"/>
        <v>12</v>
      </c>
      <c r="P32" s="182">
        <f t="shared" si="6"/>
        <v>13</v>
      </c>
      <c r="Q32" s="182">
        <v>2</v>
      </c>
      <c r="R32" s="182">
        <v>3</v>
      </c>
      <c r="S32" s="182">
        <v>4</v>
      </c>
      <c r="T32" s="182">
        <v>5</v>
      </c>
      <c r="U32" s="182">
        <v>6</v>
      </c>
      <c r="V32" s="189">
        <v>7</v>
      </c>
      <c r="W32" s="182">
        <v>8</v>
      </c>
      <c r="X32" s="182">
        <v>2</v>
      </c>
      <c r="Y32" s="182">
        <v>3</v>
      </c>
      <c r="Z32" s="182">
        <v>4</v>
      </c>
      <c r="AA32" s="182">
        <v>5</v>
      </c>
      <c r="AB32" s="182">
        <v>6</v>
      </c>
      <c r="AC32" s="189">
        <v>7</v>
      </c>
      <c r="AD32" s="182">
        <v>8</v>
      </c>
      <c r="AE32" s="182">
        <v>2</v>
      </c>
      <c r="AF32" s="182">
        <v>3</v>
      </c>
      <c r="AG32" s="182">
        <v>4</v>
      </c>
      <c r="AH32" s="182">
        <v>5</v>
      </c>
      <c r="AI32" s="182">
        <v>6</v>
      </c>
      <c r="AJ32" s="189">
        <v>7</v>
      </c>
      <c r="AK32" s="182">
        <v>8</v>
      </c>
      <c r="AL32" s="182">
        <v>2</v>
      </c>
      <c r="AM32" s="182">
        <v>3</v>
      </c>
      <c r="AN32" s="182">
        <v>4</v>
      </c>
      <c r="AO32" s="182">
        <v>5</v>
      </c>
      <c r="AP32" s="182">
        <v>6</v>
      </c>
      <c r="AQ32" s="189">
        <v>7</v>
      </c>
      <c r="AR32" s="182">
        <v>8</v>
      </c>
      <c r="AS32" s="182">
        <f ca="1">OFFSET(INDIRECT(VLOOKUP(VLOOKUP(clFiscalYear,rgPerpCal,2,TRUE),rgPerpMons,2,TRUE)),1,0)</f>
        <v>7</v>
      </c>
      <c r="AT32" s="182">
        <f ca="1">OFFSET(INDIRECT(VLOOKUP(VLOOKUP(clFiscalYear,rgPerpCal,2,TRUE),rgPerpMons,2,TRUE)),1,1)</f>
        <v>8</v>
      </c>
      <c r="AU32" s="182">
        <f ca="1">OFFSET(INDIRECT(VLOOKUP(VLOOKUP(clFiscalYear,rgPerpCal,2,TRUE),rgPerpMons,2,TRUE)),1,2)</f>
        <v>9</v>
      </c>
      <c r="AV32" s="182">
        <f ca="1">OFFSET(INDIRECT(VLOOKUP(VLOOKUP(clFiscalYear,rgPerpCal,2,TRUE),rgPerpMons,2,TRUE)),1,3)</f>
        <v>10</v>
      </c>
      <c r="AW32" s="182">
        <f ca="1">OFFSET(INDIRECT(VLOOKUP(VLOOKUP(clFiscalYear,rgPerpCal,2,TRUE),rgPerpMons,2,TRUE)),1,4)</f>
        <v>11</v>
      </c>
      <c r="AX32" s="182">
        <f ca="1">OFFSET(INDIRECT(VLOOKUP(VLOOKUP(clFiscalYear,rgPerpCal,2,TRUE),rgPerpMons,2,TRUE)),1,5)</f>
        <v>12</v>
      </c>
      <c r="AY32" s="182">
        <f ca="1">OFFSET(INDIRECT(VLOOKUP(VLOOKUP(clFiscalYear,rgPerpCal,2,TRUE),rgPerpMons,2,TRUE)),1,6)</f>
        <v>13</v>
      </c>
      <c r="AZ32" s="181">
        <f t="shared" si="34"/>
        <v>45298</v>
      </c>
      <c r="BA32" s="181">
        <f t="shared" si="34"/>
        <v>45299</v>
      </c>
      <c r="BB32" s="181">
        <f t="shared" si="34"/>
        <v>45300</v>
      </c>
      <c r="BC32" s="181">
        <f t="shared" si="34"/>
        <v>45301</v>
      </c>
      <c r="BD32" s="181">
        <f t="shared" si="34"/>
        <v>45302</v>
      </c>
      <c r="BE32" s="181">
        <f t="shared" si="34"/>
        <v>45303</v>
      </c>
      <c r="BF32" s="181">
        <f t="shared" si="34"/>
        <v>45304</v>
      </c>
      <c r="BG32" s="182" t="str">
        <f t="shared" si="23"/>
        <v>.7</v>
      </c>
      <c r="BH32" s="182" t="str">
        <f t="shared" si="24"/>
        <v>.8</v>
      </c>
      <c r="BI32" s="182" t="str">
        <f t="shared" si="8"/>
        <v>.9</v>
      </c>
      <c r="BJ32" s="182" t="str">
        <f t="shared" si="9"/>
        <v>.10</v>
      </c>
      <c r="BK32" s="182" t="str">
        <f t="shared" si="10"/>
        <v>.11</v>
      </c>
      <c r="BL32" s="182" t="str">
        <f t="shared" si="11"/>
        <v>.12</v>
      </c>
      <c r="BM32" s="182" t="str">
        <f t="shared" si="12"/>
        <v>.13</v>
      </c>
      <c r="BN32" s="218" t="str">
        <f t="shared" si="25"/>
        <v>.7</v>
      </c>
      <c r="BO32" s="218" t="str">
        <f t="shared" si="26"/>
        <v>.8</v>
      </c>
      <c r="BP32" s="218" t="str">
        <f t="shared" si="13"/>
        <v>.9</v>
      </c>
      <c r="BQ32" s="218" t="str">
        <f t="shared" si="14"/>
        <v>.10</v>
      </c>
      <c r="BR32" s="218" t="str">
        <f t="shared" si="15"/>
        <v>.11</v>
      </c>
      <c r="BS32" s="218" t="str">
        <f t="shared" si="16"/>
        <v>.12</v>
      </c>
      <c r="BT32" s="218" t="str">
        <f t="shared" si="17"/>
        <v>.13</v>
      </c>
      <c r="BU32" s="218" t="str">
        <f t="shared" si="27"/>
        <v>.7</v>
      </c>
      <c r="BV32" s="218" t="str">
        <f t="shared" si="28"/>
        <v>.8</v>
      </c>
      <c r="BW32" s="218" t="str">
        <f t="shared" si="18"/>
        <v>.9</v>
      </c>
      <c r="BX32" s="218" t="str">
        <f t="shared" si="19"/>
        <v>.10</v>
      </c>
      <c r="BY32" s="218" t="str">
        <f t="shared" si="20"/>
        <v>.11</v>
      </c>
      <c r="BZ32" s="218" t="str">
        <f t="shared" si="21"/>
        <v>.12</v>
      </c>
      <c r="CA32" s="218" t="str">
        <f t="shared" si="22"/>
        <v>.13</v>
      </c>
    </row>
    <row r="33" spans="6:79" ht="12.75">
      <c r="F33" s="191">
        <f>IF('Cal Info'!D36="","",DATEVALUE('Cal Info'!B36&amp;" "&amp;'Cal Info'!C36&amp;", "&amp;'Cal Info'!D36))</f>
      </c>
      <c r="G33" s="192">
        <f>IF('Cal Info'!F36="","",DATEVALUE('Cal Info'!E36&amp;" "&amp;'Cal Info'!F36&amp;", "&amp;'Cal Info'!G36))</f>
      </c>
      <c r="H33" s="195"/>
      <c r="J33" s="182">
        <f aca="true" t="shared" si="35" ref="J33:J60">AS33</f>
        <v>14</v>
      </c>
      <c r="K33" s="182">
        <f aca="true" t="shared" si="36" ref="K33:K60">AT33</f>
        <v>15</v>
      </c>
      <c r="L33" s="182">
        <f aca="true" t="shared" si="37" ref="L33:L60">AU33</f>
        <v>16</v>
      </c>
      <c r="M33" s="182">
        <f aca="true" t="shared" si="38" ref="M33:M60">AV33</f>
        <v>17</v>
      </c>
      <c r="N33" s="182">
        <f aca="true" t="shared" si="39" ref="N33:N60">AW33</f>
        <v>18</v>
      </c>
      <c r="O33" s="182">
        <f aca="true" t="shared" si="40" ref="O33:O60">AX33</f>
        <v>19</v>
      </c>
      <c r="P33" s="182">
        <f aca="true" t="shared" si="41" ref="P33:P60">AY33</f>
        <v>20</v>
      </c>
      <c r="Q33" s="182">
        <v>9</v>
      </c>
      <c r="R33" s="194">
        <v>10</v>
      </c>
      <c r="S33" s="182">
        <v>11</v>
      </c>
      <c r="T33" s="182">
        <v>12</v>
      </c>
      <c r="U33" s="182">
        <v>13</v>
      </c>
      <c r="V33" s="182">
        <v>14</v>
      </c>
      <c r="W33" s="182">
        <v>15</v>
      </c>
      <c r="X33" s="182">
        <v>9</v>
      </c>
      <c r="Y33" s="194">
        <v>10</v>
      </c>
      <c r="Z33" s="182">
        <v>11</v>
      </c>
      <c r="AA33" s="182">
        <v>12</v>
      </c>
      <c r="AB33" s="182">
        <v>13</v>
      </c>
      <c r="AC33" s="182">
        <v>14</v>
      </c>
      <c r="AD33" s="182">
        <v>15</v>
      </c>
      <c r="AE33" s="182">
        <v>9</v>
      </c>
      <c r="AF33" s="194">
        <v>10</v>
      </c>
      <c r="AG33" s="182">
        <v>11</v>
      </c>
      <c r="AH33" s="182">
        <v>12</v>
      </c>
      <c r="AI33" s="182">
        <v>13</v>
      </c>
      <c r="AJ33" s="182">
        <v>14</v>
      </c>
      <c r="AK33" s="182">
        <v>15</v>
      </c>
      <c r="AL33" s="182">
        <v>9</v>
      </c>
      <c r="AM33" s="194">
        <v>10</v>
      </c>
      <c r="AN33" s="182">
        <v>11</v>
      </c>
      <c r="AO33" s="182">
        <v>12</v>
      </c>
      <c r="AP33" s="182">
        <v>13</v>
      </c>
      <c r="AQ33" s="182">
        <v>14</v>
      </c>
      <c r="AR33" s="182">
        <v>15</v>
      </c>
      <c r="AS33" s="182">
        <f ca="1">OFFSET(INDIRECT(VLOOKUP(VLOOKUP(clFiscalYear,rgPerpCal,2,TRUE),rgPerpMons,2,TRUE)),2,0)</f>
        <v>14</v>
      </c>
      <c r="AT33" s="182">
        <f ca="1">OFFSET(INDIRECT(VLOOKUP(VLOOKUP(clFiscalYear,rgPerpCal,2,TRUE),rgPerpMons,2,TRUE)),2,1)</f>
        <v>15</v>
      </c>
      <c r="AU33" s="182">
        <f ca="1">OFFSET(INDIRECT(VLOOKUP(VLOOKUP(clFiscalYear,rgPerpCal,2,TRUE),rgPerpMons,2,TRUE)),2,2)</f>
        <v>16</v>
      </c>
      <c r="AV33" s="182">
        <f ca="1">OFFSET(INDIRECT(VLOOKUP(VLOOKUP(clFiscalYear,rgPerpCal,2,TRUE),rgPerpMons,2,TRUE)),2,3)</f>
        <v>17</v>
      </c>
      <c r="AW33" s="182">
        <f ca="1">OFFSET(INDIRECT(VLOOKUP(VLOOKUP(clFiscalYear,rgPerpCal,2,TRUE),rgPerpMons,2,TRUE)),2,4)</f>
        <v>18</v>
      </c>
      <c r="AX33" s="182">
        <f ca="1">OFFSET(INDIRECT(VLOOKUP(VLOOKUP(clFiscalYear,rgPerpCal,2,TRUE),rgPerpMons,2,TRUE)),2,5)</f>
        <v>19</v>
      </c>
      <c r="AY33" s="182">
        <f ca="1">OFFSET(INDIRECT(VLOOKUP(VLOOKUP(clFiscalYear,rgPerpCal,2,TRUE),rgPerpMons,2,TRUE)),2,6)</f>
        <v>20</v>
      </c>
      <c r="AZ33" s="181">
        <f t="shared" si="34"/>
        <v>45305</v>
      </c>
      <c r="BA33" s="181">
        <f t="shared" si="34"/>
        <v>45306</v>
      </c>
      <c r="BB33" s="181">
        <f t="shared" si="34"/>
        <v>45307</v>
      </c>
      <c r="BC33" s="181">
        <f t="shared" si="34"/>
        <v>45308</v>
      </c>
      <c r="BD33" s="181">
        <f t="shared" si="34"/>
        <v>45309</v>
      </c>
      <c r="BE33" s="181">
        <f t="shared" si="34"/>
        <v>45310</v>
      </c>
      <c r="BF33" s="181">
        <f t="shared" si="34"/>
        <v>45311</v>
      </c>
      <c r="BG33" s="182" t="str">
        <f t="shared" si="23"/>
        <v>.14</v>
      </c>
      <c r="BH33" s="182" t="str">
        <f t="shared" si="24"/>
        <v>.15</v>
      </c>
      <c r="BI33" s="182" t="str">
        <f t="shared" si="8"/>
        <v>.16</v>
      </c>
      <c r="BJ33" s="182" t="str">
        <f t="shared" si="9"/>
        <v>.17</v>
      </c>
      <c r="BK33" s="182" t="str">
        <f t="shared" si="10"/>
        <v>.18</v>
      </c>
      <c r="BL33" s="182" t="str">
        <f t="shared" si="11"/>
        <v>.19</v>
      </c>
      <c r="BM33" s="182" t="str">
        <f t="shared" si="12"/>
        <v>.20</v>
      </c>
      <c r="BN33" s="218" t="str">
        <f t="shared" si="25"/>
        <v>.14</v>
      </c>
      <c r="BO33" s="218" t="str">
        <f t="shared" si="26"/>
        <v>.15</v>
      </c>
      <c r="BP33" s="218" t="str">
        <f t="shared" si="13"/>
        <v>.16</v>
      </c>
      <c r="BQ33" s="218" t="str">
        <f t="shared" si="14"/>
        <v>.17</v>
      </c>
      <c r="BR33" s="218" t="str">
        <f t="shared" si="15"/>
        <v>.18</v>
      </c>
      <c r="BS33" s="218" t="str">
        <f t="shared" si="16"/>
        <v>.19</v>
      </c>
      <c r="BT33" s="218" t="str">
        <f t="shared" si="17"/>
        <v>.20</v>
      </c>
      <c r="BU33" s="218" t="str">
        <f t="shared" si="27"/>
        <v>.14</v>
      </c>
      <c r="BV33" s="218" t="str">
        <f t="shared" si="28"/>
        <v>.15</v>
      </c>
      <c r="BW33" s="218" t="str">
        <f t="shared" si="18"/>
        <v>.16</v>
      </c>
      <c r="BX33" s="218" t="str">
        <f t="shared" si="19"/>
        <v>.17</v>
      </c>
      <c r="BY33" s="218" t="str">
        <f t="shared" si="20"/>
        <v>.18</v>
      </c>
      <c r="BZ33" s="218" t="str">
        <f t="shared" si="21"/>
        <v>.19</v>
      </c>
      <c r="CA33" s="218" t="str">
        <f t="shared" si="22"/>
        <v>.20</v>
      </c>
    </row>
    <row r="34" spans="6:79" ht="12.75">
      <c r="F34" s="191">
        <f>IF('Cal Info'!D37="","",DATEVALUE('Cal Info'!B37&amp;" "&amp;'Cal Info'!C37&amp;", "&amp;'Cal Info'!D37))</f>
      </c>
      <c r="G34" s="192">
        <f>IF('Cal Info'!F37="","",DATEVALUE('Cal Info'!E37&amp;" "&amp;'Cal Info'!F37&amp;", "&amp;'Cal Info'!G37))</f>
      </c>
      <c r="H34" s="195"/>
      <c r="J34" s="182">
        <f t="shared" si="35"/>
        <v>21</v>
      </c>
      <c r="K34" s="182">
        <f t="shared" si="36"/>
        <v>22</v>
      </c>
      <c r="L34" s="182">
        <f t="shared" si="37"/>
        <v>23</v>
      </c>
      <c r="M34" s="182">
        <f t="shared" si="38"/>
        <v>24</v>
      </c>
      <c r="N34" s="182">
        <f t="shared" si="39"/>
        <v>25</v>
      </c>
      <c r="O34" s="182">
        <f t="shared" si="40"/>
        <v>26</v>
      </c>
      <c r="P34" s="182">
        <f t="shared" si="41"/>
        <v>27</v>
      </c>
      <c r="Q34" s="182">
        <v>16</v>
      </c>
      <c r="R34" s="182">
        <v>17</v>
      </c>
      <c r="S34" s="182">
        <v>18</v>
      </c>
      <c r="T34" s="194">
        <v>19</v>
      </c>
      <c r="U34" s="182">
        <v>20</v>
      </c>
      <c r="V34" s="182">
        <v>21</v>
      </c>
      <c r="W34" s="182">
        <v>22</v>
      </c>
      <c r="X34" s="182">
        <v>16</v>
      </c>
      <c r="Y34" s="182">
        <v>17</v>
      </c>
      <c r="Z34" s="182">
        <v>18</v>
      </c>
      <c r="AA34" s="194">
        <v>19</v>
      </c>
      <c r="AB34" s="182">
        <v>20</v>
      </c>
      <c r="AC34" s="182">
        <v>21</v>
      </c>
      <c r="AD34" s="182">
        <v>22</v>
      </c>
      <c r="AE34" s="182">
        <v>16</v>
      </c>
      <c r="AF34" s="182">
        <v>17</v>
      </c>
      <c r="AG34" s="182">
        <v>18</v>
      </c>
      <c r="AH34" s="194">
        <v>19</v>
      </c>
      <c r="AI34" s="182">
        <v>20</v>
      </c>
      <c r="AJ34" s="182">
        <v>21</v>
      </c>
      <c r="AK34" s="182">
        <v>22</v>
      </c>
      <c r="AL34" s="182">
        <v>16</v>
      </c>
      <c r="AM34" s="182">
        <v>17</v>
      </c>
      <c r="AN34" s="182">
        <v>18</v>
      </c>
      <c r="AO34" s="194">
        <v>19</v>
      </c>
      <c r="AP34" s="182">
        <v>20</v>
      </c>
      <c r="AQ34" s="182">
        <v>21</v>
      </c>
      <c r="AR34" s="182">
        <v>22</v>
      </c>
      <c r="AS34" s="182">
        <f ca="1">OFFSET(INDIRECT(VLOOKUP(VLOOKUP(clFiscalYear,rgPerpCal,2,TRUE),rgPerpMons,2,TRUE)),3,0)</f>
        <v>21</v>
      </c>
      <c r="AT34" s="182">
        <f ca="1">OFFSET(INDIRECT(VLOOKUP(VLOOKUP(clFiscalYear,rgPerpCal,2,TRUE),rgPerpMons,2,TRUE)),3,1)</f>
        <v>22</v>
      </c>
      <c r="AU34" s="182">
        <f ca="1">OFFSET(INDIRECT(VLOOKUP(VLOOKUP(clFiscalYear,rgPerpCal,2,TRUE),rgPerpMons,2,TRUE)),3,2)</f>
        <v>23</v>
      </c>
      <c r="AV34" s="182">
        <f ca="1">OFFSET(INDIRECT(VLOOKUP(VLOOKUP(clFiscalYear,rgPerpCal,2,TRUE),rgPerpMons,2,TRUE)),3,3)</f>
        <v>24</v>
      </c>
      <c r="AW34" s="182">
        <f ca="1">OFFSET(INDIRECT(VLOOKUP(VLOOKUP(clFiscalYear,rgPerpCal,2,TRUE),rgPerpMons,2,TRUE)),3,4)</f>
        <v>25</v>
      </c>
      <c r="AX34" s="182">
        <f ca="1">OFFSET(INDIRECT(VLOOKUP(VLOOKUP(clFiscalYear,rgPerpCal,2,TRUE),rgPerpMons,2,TRUE)),3,5)</f>
        <v>26</v>
      </c>
      <c r="AY34" s="182">
        <f ca="1">OFFSET(INDIRECT(VLOOKUP(VLOOKUP(clFiscalYear,rgPerpCal,2,TRUE),rgPerpMons,2,TRUE)),3,6)</f>
        <v>27</v>
      </c>
      <c r="AZ34" s="181">
        <f t="shared" si="34"/>
        <v>45312</v>
      </c>
      <c r="BA34" s="181">
        <f t="shared" si="34"/>
        <v>45313</v>
      </c>
      <c r="BB34" s="181">
        <f t="shared" si="34"/>
        <v>45314</v>
      </c>
      <c r="BC34" s="181">
        <f t="shared" si="34"/>
        <v>45315</v>
      </c>
      <c r="BD34" s="181">
        <f t="shared" si="34"/>
        <v>45316</v>
      </c>
      <c r="BE34" s="181">
        <f t="shared" si="34"/>
        <v>45317</v>
      </c>
      <c r="BF34" s="181">
        <f t="shared" si="34"/>
        <v>45318</v>
      </c>
      <c r="BG34" s="182" t="str">
        <f t="shared" si="23"/>
        <v>.21</v>
      </c>
      <c r="BH34" s="182" t="str">
        <f t="shared" si="24"/>
        <v>.22</v>
      </c>
      <c r="BI34" s="182" t="str">
        <f t="shared" si="8"/>
        <v>.23</v>
      </c>
      <c r="BJ34" s="182" t="str">
        <f t="shared" si="9"/>
        <v>.24</v>
      </c>
      <c r="BK34" s="182" t="str">
        <f t="shared" si="10"/>
        <v>.25</v>
      </c>
      <c r="BL34" s="182" t="str">
        <f t="shared" si="11"/>
        <v>.26</v>
      </c>
      <c r="BM34" s="182" t="str">
        <f t="shared" si="12"/>
        <v>.27</v>
      </c>
      <c r="BN34" s="218" t="str">
        <f t="shared" si="25"/>
        <v>.21</v>
      </c>
      <c r="BO34" s="218" t="str">
        <f t="shared" si="26"/>
        <v>.22</v>
      </c>
      <c r="BP34" s="218" t="str">
        <f t="shared" si="13"/>
        <v>.23</v>
      </c>
      <c r="BQ34" s="218" t="str">
        <f t="shared" si="14"/>
        <v>.24</v>
      </c>
      <c r="BR34" s="218" t="str">
        <f t="shared" si="15"/>
        <v>.25</v>
      </c>
      <c r="BS34" s="218" t="str">
        <f t="shared" si="16"/>
        <v>.26</v>
      </c>
      <c r="BT34" s="218" t="str">
        <f t="shared" si="17"/>
        <v>.27</v>
      </c>
      <c r="BU34" s="218" t="str">
        <f t="shared" si="27"/>
        <v>.21</v>
      </c>
      <c r="BV34" s="218" t="str">
        <f t="shared" si="28"/>
        <v>.22</v>
      </c>
      <c r="BW34" s="218" t="str">
        <f t="shared" si="18"/>
        <v>.23</v>
      </c>
      <c r="BX34" s="218" t="str">
        <f t="shared" si="19"/>
        <v>.24</v>
      </c>
      <c r="BY34" s="218" t="str">
        <f t="shared" si="20"/>
        <v>.25</v>
      </c>
      <c r="BZ34" s="218" t="str">
        <f t="shared" si="21"/>
        <v>.26</v>
      </c>
      <c r="CA34" s="218" t="str">
        <f t="shared" si="22"/>
        <v>.27</v>
      </c>
    </row>
    <row r="35" spans="6:79" ht="12.75">
      <c r="F35" s="191">
        <f>IF('Cal Info'!D38="","",DATEVALUE('Cal Info'!B38&amp;" "&amp;'Cal Info'!C38&amp;", "&amp;'Cal Info'!D38))</f>
      </c>
      <c r="G35" s="192">
        <f>IF('Cal Info'!F38="","",DATEVALUE('Cal Info'!E38&amp;" "&amp;'Cal Info'!F38&amp;", "&amp;'Cal Info'!G38))</f>
      </c>
      <c r="H35" s="195"/>
      <c r="J35" s="182">
        <f t="shared" si="35"/>
        <v>28</v>
      </c>
      <c r="K35" s="182">
        <f t="shared" si="36"/>
        <v>29</v>
      </c>
      <c r="L35" s="182">
        <f t="shared" si="37"/>
        <v>30</v>
      </c>
      <c r="M35" s="182">
        <f t="shared" si="38"/>
        <v>31</v>
      </c>
      <c r="N35" s="182">
        <f t="shared" si="39"/>
        <v>0</v>
      </c>
      <c r="O35" s="182">
        <f t="shared" si="40"/>
        <v>0</v>
      </c>
      <c r="P35" s="182">
        <f t="shared" si="41"/>
        <v>0</v>
      </c>
      <c r="Q35" s="182">
        <v>23</v>
      </c>
      <c r="R35" s="197">
        <v>24</v>
      </c>
      <c r="S35" s="182">
        <v>25</v>
      </c>
      <c r="T35" s="182">
        <v>26</v>
      </c>
      <c r="U35" s="182">
        <v>27</v>
      </c>
      <c r="V35" s="182">
        <v>28</v>
      </c>
      <c r="W35" s="182">
        <v>29</v>
      </c>
      <c r="X35" s="182">
        <v>23</v>
      </c>
      <c r="Y35" s="197">
        <v>24</v>
      </c>
      <c r="Z35" s="182">
        <v>25</v>
      </c>
      <c r="AA35" s="182">
        <v>26</v>
      </c>
      <c r="AB35" s="182">
        <v>27</v>
      </c>
      <c r="AC35" s="182">
        <v>28</v>
      </c>
      <c r="AD35" s="182">
        <v>29</v>
      </c>
      <c r="AE35" s="182">
        <v>23</v>
      </c>
      <c r="AF35" s="197">
        <v>24</v>
      </c>
      <c r="AG35" s="182">
        <v>25</v>
      </c>
      <c r="AH35" s="182">
        <v>26</v>
      </c>
      <c r="AI35" s="182">
        <v>27</v>
      </c>
      <c r="AJ35" s="182">
        <v>28</v>
      </c>
      <c r="AK35" s="182"/>
      <c r="AL35" s="182">
        <v>23</v>
      </c>
      <c r="AM35" s="197">
        <v>24</v>
      </c>
      <c r="AN35" s="182">
        <v>25</v>
      </c>
      <c r="AO35" s="182">
        <v>26</v>
      </c>
      <c r="AP35" s="182">
        <v>27</v>
      </c>
      <c r="AQ35" s="182">
        <v>28</v>
      </c>
      <c r="AR35" s="182">
        <v>29</v>
      </c>
      <c r="AS35" s="182">
        <f ca="1">OFFSET(INDIRECT(VLOOKUP(VLOOKUP(clFiscalYear,rgPerpCal,2,TRUE),rgPerpMons,2,TRUE)),4,0)</f>
        <v>28</v>
      </c>
      <c r="AT35" s="182">
        <f ca="1">OFFSET(INDIRECT(VLOOKUP(VLOOKUP(clFiscalYear,rgPerpCal,2,TRUE),rgPerpMons,2,TRUE)),4,1)</f>
        <v>29</v>
      </c>
      <c r="AU35" s="182">
        <f ca="1">OFFSET(INDIRECT(VLOOKUP(VLOOKUP(clFiscalYear,rgPerpCal,2,TRUE),rgPerpMons,2,TRUE)),4,2)</f>
        <v>30</v>
      </c>
      <c r="AV35" s="182">
        <f ca="1">OFFSET(INDIRECT(VLOOKUP(VLOOKUP(clFiscalYear,rgPerpCal,2,TRUE),rgPerpMons,2,TRUE)),4,3)</f>
        <v>31</v>
      </c>
      <c r="AW35" s="182">
        <f ca="1">OFFSET(INDIRECT(VLOOKUP(VLOOKUP(clFiscalYear,rgPerpCal,2,TRUE),rgPerpMons,2,TRUE)),4,4)</f>
        <v>0</v>
      </c>
      <c r="AX35" s="182">
        <f ca="1">OFFSET(INDIRECT(VLOOKUP(VLOOKUP(clFiscalYear,rgPerpCal,2,TRUE),rgPerpMons,2,TRUE)),4,5)</f>
        <v>0</v>
      </c>
      <c r="AY35" s="182">
        <f ca="1">OFFSET(INDIRECT(VLOOKUP(VLOOKUP(clFiscalYear,rgPerpCal,2,TRUE),rgPerpMons,2,TRUE)),4,6)</f>
        <v>0</v>
      </c>
      <c r="AZ35" s="181">
        <f t="shared" si="34"/>
        <v>45319</v>
      </c>
      <c r="BA35" s="181">
        <f t="shared" si="34"/>
        <v>45320</v>
      </c>
      <c r="BB35" s="181">
        <f t="shared" si="34"/>
        <v>45321</v>
      </c>
      <c r="BC35" s="181">
        <f t="shared" si="34"/>
        <v>45322</v>
      </c>
      <c r="BD35" s="181">
        <f t="shared" si="34"/>
        <v>0</v>
      </c>
      <c r="BE35" s="181">
        <f t="shared" si="34"/>
        <v>0</v>
      </c>
      <c r="BF35" s="181">
        <f t="shared" si="34"/>
        <v>0</v>
      </c>
      <c r="BG35" s="182" t="str">
        <f t="shared" si="23"/>
        <v>.28</v>
      </c>
      <c r="BH35" s="182" t="str">
        <f t="shared" si="24"/>
        <v>.29</v>
      </c>
      <c r="BI35" s="182" t="str">
        <f t="shared" si="8"/>
        <v>.30</v>
      </c>
      <c r="BJ35" s="182" t="str">
        <f t="shared" si="9"/>
        <v>.31</v>
      </c>
      <c r="BK35" s="182">
        <f t="shared" si="10"/>
        <v>0</v>
      </c>
      <c r="BL35" s="182">
        <f t="shared" si="11"/>
        <v>0</v>
      </c>
      <c r="BM35" s="182">
        <f t="shared" si="12"/>
        <v>0</v>
      </c>
      <c r="BN35" s="218" t="str">
        <f t="shared" si="25"/>
        <v>.28</v>
      </c>
      <c r="BO35" s="218" t="str">
        <f t="shared" si="26"/>
        <v>.29</v>
      </c>
      <c r="BP35" s="218" t="str">
        <f t="shared" si="13"/>
        <v>.30</v>
      </c>
      <c r="BQ35" s="218" t="str">
        <f t="shared" si="14"/>
        <v>.31</v>
      </c>
      <c r="BR35" s="218">
        <f t="shared" si="15"/>
        <v>0</v>
      </c>
      <c r="BS35" s="218">
        <f t="shared" si="16"/>
        <v>0</v>
      </c>
      <c r="BT35" s="218">
        <f t="shared" si="17"/>
        <v>0</v>
      </c>
      <c r="BU35" s="218" t="str">
        <f t="shared" si="27"/>
        <v>.28</v>
      </c>
      <c r="BV35" s="218" t="str">
        <f t="shared" si="28"/>
        <v>.29</v>
      </c>
      <c r="BW35" s="218" t="str">
        <f t="shared" si="18"/>
        <v>.30</v>
      </c>
      <c r="BX35" s="218" t="str">
        <f t="shared" si="19"/>
        <v>.31</v>
      </c>
      <c r="BY35" s="218">
        <f t="shared" si="20"/>
        <v>0</v>
      </c>
      <c r="BZ35" s="218">
        <f t="shared" si="21"/>
        <v>0</v>
      </c>
      <c r="CA35" s="218">
        <f t="shared" si="22"/>
        <v>0</v>
      </c>
    </row>
    <row r="36" spans="6:79" ht="12.75">
      <c r="F36" s="191">
        <f>IF('Cal Info'!D39="","",DATEVALUE('Cal Info'!B39&amp;" "&amp;'Cal Info'!C39&amp;", "&amp;'Cal Info'!D39))</f>
      </c>
      <c r="G36" s="192">
        <f>IF('Cal Info'!F39="","",DATEVALUE('Cal Info'!E39&amp;" "&amp;'Cal Info'!F39&amp;", "&amp;'Cal Info'!G39))</f>
      </c>
      <c r="H36" s="195"/>
      <c r="J36" s="182">
        <f t="shared" si="35"/>
        <v>0</v>
      </c>
      <c r="K36" s="182">
        <f t="shared" si="36"/>
        <v>0</v>
      </c>
      <c r="L36" s="182">
        <f t="shared" si="37"/>
        <v>0</v>
      </c>
      <c r="M36" s="182">
        <f t="shared" si="38"/>
        <v>0</v>
      </c>
      <c r="N36" s="182">
        <f t="shared" si="39"/>
        <v>1</v>
      </c>
      <c r="O36" s="182">
        <f t="shared" si="40"/>
        <v>2</v>
      </c>
      <c r="P36" s="182">
        <f t="shared" si="41"/>
        <v>3</v>
      </c>
      <c r="AS36" s="182">
        <f ca="1">OFFSET(INDIRECT(VLOOKUP(VLOOKUP(clFiscalYear,rgPerpCal,3,TRUE),rgPerpMons,2,TRUE)),0,0)</f>
        <v>0</v>
      </c>
      <c r="AT36" s="182">
        <f ca="1">OFFSET(INDIRECT(VLOOKUP(VLOOKUP(clFiscalYear,rgPerpCal,3,TRUE),rgPerpMons,2,TRUE)),0,1)</f>
        <v>0</v>
      </c>
      <c r="AU36" s="182">
        <f ca="1">OFFSET(INDIRECT(VLOOKUP(VLOOKUP(clFiscalYear,rgPerpCal,3,TRUE),rgPerpMons,2,TRUE)),0,2)</f>
        <v>0</v>
      </c>
      <c r="AV36" s="182">
        <f ca="1">OFFSET(INDIRECT(VLOOKUP(VLOOKUP(clFiscalYear,rgPerpCal,3,TRUE),rgPerpMons,2,TRUE)),0,3)</f>
        <v>0</v>
      </c>
      <c r="AW36" s="182">
        <f ca="1">OFFSET(INDIRECT(VLOOKUP(VLOOKUP(clFiscalYear,rgPerpCal,3,TRUE),rgPerpMons,2,TRUE)),0,4)</f>
        <v>1</v>
      </c>
      <c r="AX36" s="182">
        <f ca="1">OFFSET(INDIRECT(VLOOKUP(VLOOKUP(clFiscalYear,rgPerpCal,3,TRUE),rgPerpMons,2,TRUE)),0,5)</f>
        <v>2</v>
      </c>
      <c r="AY36" s="182">
        <f ca="1">OFFSET(INDIRECT(VLOOKUP(VLOOKUP(clFiscalYear,rgPerpCal,3,TRUE),rgPerpMons,2,TRUE)),0,6)</f>
        <v>3</v>
      </c>
      <c r="AZ36" s="181">
        <f aca="true" t="shared" si="42" ref="AZ36:BF40">IF(AS36&lt;&gt;0,DATEVALUE(AS36&amp;" February "&amp;clFiscalYear),0)</f>
        <v>0</v>
      </c>
      <c r="BA36" s="181">
        <f t="shared" si="42"/>
        <v>0</v>
      </c>
      <c r="BB36" s="181">
        <f t="shared" si="42"/>
        <v>0</v>
      </c>
      <c r="BC36" s="181">
        <f t="shared" si="42"/>
        <v>0</v>
      </c>
      <c r="BD36" s="181">
        <f t="shared" si="42"/>
        <v>45323</v>
      </c>
      <c r="BE36" s="181">
        <f t="shared" si="42"/>
        <v>45324</v>
      </c>
      <c r="BF36" s="181">
        <f t="shared" si="42"/>
        <v>45325</v>
      </c>
      <c r="BG36" s="182">
        <f t="shared" si="23"/>
        <v>0</v>
      </c>
      <c r="BH36" s="182">
        <f t="shared" si="24"/>
        <v>0</v>
      </c>
      <c r="BI36" s="182">
        <f t="shared" si="8"/>
        <v>0</v>
      </c>
      <c r="BJ36" s="182">
        <f t="shared" si="9"/>
        <v>0</v>
      </c>
      <c r="BK36" s="182" t="str">
        <f t="shared" si="10"/>
        <v>.1</v>
      </c>
      <c r="BL36" s="182" t="str">
        <f t="shared" si="11"/>
        <v>.2</v>
      </c>
      <c r="BM36" s="182" t="str">
        <f t="shared" si="12"/>
        <v>.3</v>
      </c>
      <c r="BN36" s="218">
        <f t="shared" si="25"/>
        <v>0</v>
      </c>
      <c r="BO36" s="218">
        <f t="shared" si="26"/>
        <v>0</v>
      </c>
      <c r="BP36" s="218">
        <f t="shared" si="13"/>
        <v>0</v>
      </c>
      <c r="BQ36" s="218">
        <f t="shared" si="14"/>
        <v>0</v>
      </c>
      <c r="BR36" s="218" t="str">
        <f t="shared" si="15"/>
        <v>.1</v>
      </c>
      <c r="BS36" s="218" t="str">
        <f t="shared" si="16"/>
        <v>.2</v>
      </c>
      <c r="BT36" s="218" t="str">
        <f t="shared" si="17"/>
        <v>.3</v>
      </c>
      <c r="BU36" s="218">
        <f t="shared" si="27"/>
        <v>0</v>
      </c>
      <c r="BV36" s="218">
        <f t="shared" si="28"/>
        <v>0</v>
      </c>
      <c r="BW36" s="218">
        <f t="shared" si="18"/>
        <v>0</v>
      </c>
      <c r="BX36" s="218">
        <f t="shared" si="19"/>
        <v>0</v>
      </c>
      <c r="BY36" s="218" t="str">
        <f t="shared" si="20"/>
        <v>.1</v>
      </c>
      <c r="BZ36" s="218" t="str">
        <f t="shared" si="21"/>
        <v>.2</v>
      </c>
      <c r="CA36" s="218" t="str">
        <f t="shared" si="22"/>
        <v>.3</v>
      </c>
    </row>
    <row r="37" spans="6:79" ht="12.75">
      <c r="F37" s="191">
        <f>IF('Cal Info'!D40="","",DATEVALUE('Cal Info'!B40&amp;" "&amp;'Cal Info'!C40&amp;", "&amp;'Cal Info'!D40))</f>
      </c>
      <c r="G37" s="192">
        <f>IF('Cal Info'!F40="","",DATEVALUE('Cal Info'!E40&amp;" "&amp;'Cal Info'!F40&amp;", "&amp;'Cal Info'!G40))</f>
      </c>
      <c r="H37" s="195"/>
      <c r="J37" s="182">
        <f t="shared" si="35"/>
        <v>4</v>
      </c>
      <c r="K37" s="182">
        <f t="shared" si="36"/>
        <v>5</v>
      </c>
      <c r="L37" s="182">
        <f t="shared" si="37"/>
        <v>6</v>
      </c>
      <c r="M37" s="182">
        <f t="shared" si="38"/>
        <v>7</v>
      </c>
      <c r="N37" s="182">
        <f t="shared" si="39"/>
        <v>8</v>
      </c>
      <c r="O37" s="182">
        <f t="shared" si="40"/>
        <v>9</v>
      </c>
      <c r="P37" s="182">
        <f t="shared" si="41"/>
        <v>10</v>
      </c>
      <c r="T37" s="194">
        <v>1</v>
      </c>
      <c r="U37" s="194">
        <v>2</v>
      </c>
      <c r="V37" s="194">
        <v>3</v>
      </c>
      <c r="W37" s="194">
        <v>4</v>
      </c>
      <c r="X37" s="194">
        <v>5</v>
      </c>
      <c r="Y37" s="194">
        <v>6</v>
      </c>
      <c r="Z37" s="194">
        <v>7</v>
      </c>
      <c r="AA37" s="194">
        <v>8</v>
      </c>
      <c r="AB37" s="194">
        <v>9</v>
      </c>
      <c r="AC37" s="194">
        <v>10</v>
      </c>
      <c r="AD37" s="194">
        <v>11</v>
      </c>
      <c r="AE37" s="194">
        <v>12</v>
      </c>
      <c r="AH37" s="199" t="s">
        <v>215</v>
      </c>
      <c r="AS37" s="182">
        <f ca="1">OFFSET(INDIRECT(VLOOKUP(VLOOKUP(clFiscalYear,rgPerpCal,3,TRUE),rgPerpMons,2,TRUE)),1,0)</f>
        <v>4</v>
      </c>
      <c r="AT37" s="182">
        <f ca="1">OFFSET(INDIRECT(VLOOKUP(VLOOKUP(clFiscalYear,rgPerpCal,3,TRUE),rgPerpMons,2,TRUE)),1,1)</f>
        <v>5</v>
      </c>
      <c r="AU37" s="182">
        <f ca="1">OFFSET(INDIRECT(VLOOKUP(VLOOKUP(clFiscalYear,rgPerpCal,3,TRUE),rgPerpMons,2,TRUE)),1,2)</f>
        <v>6</v>
      </c>
      <c r="AV37" s="182">
        <f ca="1">OFFSET(INDIRECT(VLOOKUP(VLOOKUP(clFiscalYear,rgPerpCal,3,TRUE),rgPerpMons,2,TRUE)),1,3)</f>
        <v>7</v>
      </c>
      <c r="AW37" s="182">
        <f ca="1">OFFSET(INDIRECT(VLOOKUP(VLOOKUP(clFiscalYear,rgPerpCal,3,TRUE),rgPerpMons,2,TRUE)),1,4)</f>
        <v>8</v>
      </c>
      <c r="AX37" s="182">
        <f ca="1">OFFSET(INDIRECT(VLOOKUP(VLOOKUP(clFiscalYear,rgPerpCal,3,TRUE),rgPerpMons,2,TRUE)),1,5)</f>
        <v>9</v>
      </c>
      <c r="AY37" s="182">
        <f ca="1">OFFSET(INDIRECT(VLOOKUP(VLOOKUP(clFiscalYear,rgPerpCal,3,TRUE),rgPerpMons,2,TRUE)),1,6)</f>
        <v>10</v>
      </c>
      <c r="AZ37" s="181">
        <f t="shared" si="42"/>
        <v>45326</v>
      </c>
      <c r="BA37" s="181">
        <f t="shared" si="42"/>
        <v>45327</v>
      </c>
      <c r="BB37" s="181">
        <f t="shared" si="42"/>
        <v>45328</v>
      </c>
      <c r="BC37" s="181">
        <f t="shared" si="42"/>
        <v>45329</v>
      </c>
      <c r="BD37" s="181">
        <f t="shared" si="42"/>
        <v>45330</v>
      </c>
      <c r="BE37" s="181">
        <f t="shared" si="42"/>
        <v>45331</v>
      </c>
      <c r="BF37" s="181">
        <f t="shared" si="42"/>
        <v>45332</v>
      </c>
      <c r="BG37" s="182" t="str">
        <f t="shared" si="23"/>
        <v>.4</v>
      </c>
      <c r="BH37" s="182" t="str">
        <f t="shared" si="24"/>
        <v>.5</v>
      </c>
      <c r="BI37" s="182" t="str">
        <f t="shared" si="8"/>
        <v>.6</v>
      </c>
      <c r="BJ37" s="182" t="str">
        <f t="shared" si="9"/>
        <v>.7</v>
      </c>
      <c r="BK37" s="182" t="str">
        <f t="shared" si="10"/>
        <v>.8</v>
      </c>
      <c r="BL37" s="182" t="str">
        <f t="shared" si="11"/>
        <v>.9</v>
      </c>
      <c r="BM37" s="182" t="str">
        <f t="shared" si="12"/>
        <v>.10</v>
      </c>
      <c r="BN37" s="218" t="str">
        <f t="shared" si="25"/>
        <v>.4</v>
      </c>
      <c r="BO37" s="218" t="str">
        <f t="shared" si="26"/>
        <v>.5</v>
      </c>
      <c r="BP37" s="218" t="str">
        <f t="shared" si="13"/>
        <v>.6</v>
      </c>
      <c r="BQ37" s="218" t="str">
        <f t="shared" si="14"/>
        <v>.7</v>
      </c>
      <c r="BR37" s="218" t="str">
        <f t="shared" si="15"/>
        <v>.8</v>
      </c>
      <c r="BS37" s="218" t="str">
        <f t="shared" si="16"/>
        <v>.9</v>
      </c>
      <c r="BT37" s="218" t="str">
        <f t="shared" si="17"/>
        <v>.10</v>
      </c>
      <c r="BU37" s="218" t="str">
        <f t="shared" si="27"/>
        <v>.4</v>
      </c>
      <c r="BV37" s="218" t="str">
        <f t="shared" si="28"/>
        <v>.5</v>
      </c>
      <c r="BW37" s="218" t="str">
        <f t="shared" si="18"/>
        <v>.6</v>
      </c>
      <c r="BX37" s="218" t="str">
        <f t="shared" si="19"/>
        <v>.7</v>
      </c>
      <c r="BY37" s="218" t="str">
        <f t="shared" si="20"/>
        <v>.8</v>
      </c>
      <c r="BZ37" s="218" t="str">
        <f t="shared" si="21"/>
        <v>.9</v>
      </c>
      <c r="CA37" s="218" t="str">
        <f t="shared" si="22"/>
        <v>.10</v>
      </c>
    </row>
    <row r="38" spans="6:79" ht="12.75">
      <c r="F38" s="200">
        <f>IF('Cal Info'!D41="","",DATEVALUE('Cal Info'!B41&amp;" "&amp;'Cal Info'!C41&amp;", "&amp;'Cal Info'!D41))</f>
      </c>
      <c r="G38" s="201">
        <f>IF('Cal Info'!F41="","",DATEVALUE('Cal Info'!E41&amp;" "&amp;'Cal Info'!F41&amp;", "&amp;'Cal Info'!G41))</f>
      </c>
      <c r="H38" s="195"/>
      <c r="J38" s="182">
        <f t="shared" si="35"/>
        <v>11</v>
      </c>
      <c r="K38" s="182">
        <f t="shared" si="36"/>
        <v>12</v>
      </c>
      <c r="L38" s="182">
        <f t="shared" si="37"/>
        <v>13</v>
      </c>
      <c r="M38" s="182">
        <f t="shared" si="38"/>
        <v>14</v>
      </c>
      <c r="N38" s="182">
        <f t="shared" si="39"/>
        <v>15</v>
      </c>
      <c r="O38" s="182">
        <f t="shared" si="40"/>
        <v>16</v>
      </c>
      <c r="P38" s="182">
        <f t="shared" si="41"/>
        <v>17</v>
      </c>
      <c r="S38" s="319">
        <v>2000</v>
      </c>
      <c r="T38" s="319">
        <v>7</v>
      </c>
      <c r="U38" s="319">
        <v>24</v>
      </c>
      <c r="V38" s="319">
        <v>4</v>
      </c>
      <c r="W38" s="319">
        <v>14</v>
      </c>
      <c r="X38" s="319">
        <v>2</v>
      </c>
      <c r="Y38" s="319">
        <v>12</v>
      </c>
      <c r="Z38" s="320">
        <v>5</v>
      </c>
      <c r="AA38" s="320">
        <v>1</v>
      </c>
      <c r="AB38" s="320">
        <v>11</v>
      </c>
      <c r="AC38" s="320">
        <v>6</v>
      </c>
      <c r="AD38" s="320">
        <v>9</v>
      </c>
      <c r="AE38" s="320">
        <v>4</v>
      </c>
      <c r="AG38" s="194">
        <v>1</v>
      </c>
      <c r="AH38" s="204" t="s">
        <v>24</v>
      </c>
      <c r="AS38" s="182">
        <f ca="1">OFFSET(INDIRECT(VLOOKUP(VLOOKUP(clFiscalYear,rgPerpCal,3,TRUE),rgPerpMons,2,TRUE)),2,0)</f>
        <v>11</v>
      </c>
      <c r="AT38" s="182">
        <f ca="1">OFFSET(INDIRECT(VLOOKUP(VLOOKUP(clFiscalYear,rgPerpCal,3,TRUE),rgPerpMons,2,TRUE)),2,1)</f>
        <v>12</v>
      </c>
      <c r="AU38" s="182">
        <f ca="1">OFFSET(INDIRECT(VLOOKUP(VLOOKUP(clFiscalYear,rgPerpCal,3,TRUE),rgPerpMons,2,TRUE)),2,2)</f>
        <v>13</v>
      </c>
      <c r="AV38" s="182">
        <f ca="1">OFFSET(INDIRECT(VLOOKUP(VLOOKUP(clFiscalYear,rgPerpCal,3,TRUE),rgPerpMons,2,TRUE)),2,3)</f>
        <v>14</v>
      </c>
      <c r="AW38" s="182">
        <f ca="1">OFFSET(INDIRECT(VLOOKUP(VLOOKUP(clFiscalYear,rgPerpCal,3,TRUE),rgPerpMons,2,TRUE)),2,4)</f>
        <v>15</v>
      </c>
      <c r="AX38" s="182">
        <f ca="1">OFFSET(INDIRECT(VLOOKUP(VLOOKUP(clFiscalYear,rgPerpCal,3,TRUE),rgPerpMons,2,TRUE)),2,5)</f>
        <v>16</v>
      </c>
      <c r="AY38" s="182">
        <f ca="1">OFFSET(INDIRECT(VLOOKUP(VLOOKUP(clFiscalYear,rgPerpCal,3,TRUE),rgPerpMons,2,TRUE)),2,6)</f>
        <v>17</v>
      </c>
      <c r="AZ38" s="181">
        <f t="shared" si="42"/>
        <v>45333</v>
      </c>
      <c r="BA38" s="181">
        <f t="shared" si="42"/>
        <v>45334</v>
      </c>
      <c r="BB38" s="181">
        <f t="shared" si="42"/>
        <v>45335</v>
      </c>
      <c r="BC38" s="181">
        <f t="shared" si="42"/>
        <v>45336</v>
      </c>
      <c r="BD38" s="181">
        <f t="shared" si="42"/>
        <v>45337</v>
      </c>
      <c r="BE38" s="181">
        <f t="shared" si="42"/>
        <v>45338</v>
      </c>
      <c r="BF38" s="181">
        <f t="shared" si="42"/>
        <v>45339</v>
      </c>
      <c r="BG38" s="182" t="str">
        <f t="shared" si="23"/>
        <v>.11</v>
      </c>
      <c r="BH38" s="182" t="str">
        <f t="shared" si="24"/>
        <v>.12</v>
      </c>
      <c r="BI38" s="182" t="str">
        <f t="shared" si="8"/>
        <v>.13</v>
      </c>
      <c r="BJ38" s="182" t="str">
        <f t="shared" si="9"/>
        <v>.14</v>
      </c>
      <c r="BK38" s="182" t="str">
        <f t="shared" si="10"/>
        <v>.15</v>
      </c>
      <c r="BL38" s="182" t="str">
        <f t="shared" si="11"/>
        <v>.16</v>
      </c>
      <c r="BM38" s="182" t="str">
        <f t="shared" si="12"/>
        <v>.17</v>
      </c>
      <c r="BN38" s="218" t="str">
        <f t="shared" si="25"/>
        <v>.11</v>
      </c>
      <c r="BO38" s="218" t="str">
        <f t="shared" si="26"/>
        <v>.12</v>
      </c>
      <c r="BP38" s="218" t="str">
        <f t="shared" si="13"/>
        <v>.13</v>
      </c>
      <c r="BQ38" s="218" t="str">
        <f t="shared" si="14"/>
        <v>.14</v>
      </c>
      <c r="BR38" s="218" t="str">
        <f t="shared" si="15"/>
        <v>.15</v>
      </c>
      <c r="BS38" s="218" t="str">
        <f t="shared" si="16"/>
        <v>.16</v>
      </c>
      <c r="BT38" s="218" t="str">
        <f t="shared" si="17"/>
        <v>.17</v>
      </c>
      <c r="BU38" s="218" t="str">
        <f t="shared" si="27"/>
        <v>.11</v>
      </c>
      <c r="BV38" s="218" t="str">
        <f t="shared" si="28"/>
        <v>.12</v>
      </c>
      <c r="BW38" s="218" t="str">
        <f t="shared" si="18"/>
        <v>.13</v>
      </c>
      <c r="BX38" s="218" t="str">
        <f t="shared" si="19"/>
        <v>.14</v>
      </c>
      <c r="BY38" s="218" t="str">
        <f t="shared" si="20"/>
        <v>.15</v>
      </c>
      <c r="BZ38" s="218" t="str">
        <f t="shared" si="21"/>
        <v>.16</v>
      </c>
      <c r="CA38" s="218" t="str">
        <f t="shared" si="22"/>
        <v>.17</v>
      </c>
    </row>
    <row r="39" spans="8:79" ht="12.75">
      <c r="H39" s="196"/>
      <c r="J39" s="182">
        <f t="shared" si="35"/>
        <v>18</v>
      </c>
      <c r="K39" s="182">
        <f t="shared" si="36"/>
        <v>19</v>
      </c>
      <c r="L39" s="182">
        <f t="shared" si="37"/>
        <v>20</v>
      </c>
      <c r="M39" s="182">
        <f t="shared" si="38"/>
        <v>21</v>
      </c>
      <c r="N39" s="182">
        <f t="shared" si="39"/>
        <v>22</v>
      </c>
      <c r="O39" s="182">
        <f t="shared" si="40"/>
        <v>23</v>
      </c>
      <c r="P39" s="182">
        <f t="shared" si="41"/>
        <v>24</v>
      </c>
      <c r="S39" s="203">
        <v>2001</v>
      </c>
      <c r="T39" s="194">
        <v>2</v>
      </c>
      <c r="U39" s="194">
        <v>19</v>
      </c>
      <c r="V39" s="194">
        <v>5</v>
      </c>
      <c r="W39" s="194">
        <v>8</v>
      </c>
      <c r="X39" s="194">
        <v>3</v>
      </c>
      <c r="Y39" s="194">
        <v>13</v>
      </c>
      <c r="Z39" s="319">
        <v>7</v>
      </c>
      <c r="AA39" s="319">
        <v>3</v>
      </c>
      <c r="AB39" s="319">
        <v>13</v>
      </c>
      <c r="AC39" s="319">
        <v>1</v>
      </c>
      <c r="AD39" s="319">
        <v>11</v>
      </c>
      <c r="AE39" s="319">
        <v>6</v>
      </c>
      <c r="AG39" s="194">
        <v>2</v>
      </c>
      <c r="AH39" s="204" t="s">
        <v>185</v>
      </c>
      <c r="AJ39" s="181" t="s">
        <v>244</v>
      </c>
      <c r="AS39" s="182">
        <f ca="1">OFFSET(INDIRECT(VLOOKUP(VLOOKUP(clFiscalYear,rgPerpCal,3,TRUE),rgPerpMons,2,TRUE)),3,0)</f>
        <v>18</v>
      </c>
      <c r="AT39" s="182">
        <f ca="1">OFFSET(INDIRECT(VLOOKUP(VLOOKUP(clFiscalYear,rgPerpCal,3,TRUE),rgPerpMons,2,TRUE)),3,1)</f>
        <v>19</v>
      </c>
      <c r="AU39" s="182">
        <f ca="1">OFFSET(INDIRECT(VLOOKUP(VLOOKUP(clFiscalYear,rgPerpCal,3,TRUE),rgPerpMons,2,TRUE)),3,2)</f>
        <v>20</v>
      </c>
      <c r="AV39" s="182">
        <f ca="1">OFFSET(INDIRECT(VLOOKUP(VLOOKUP(clFiscalYear,rgPerpCal,3,TRUE),rgPerpMons,2,TRUE)),3,3)</f>
        <v>21</v>
      </c>
      <c r="AW39" s="182">
        <f ca="1">OFFSET(INDIRECT(VLOOKUP(VLOOKUP(clFiscalYear,rgPerpCal,3,TRUE),rgPerpMons,2,TRUE)),3,4)</f>
        <v>22</v>
      </c>
      <c r="AX39" s="182">
        <f ca="1">OFFSET(INDIRECT(VLOOKUP(VLOOKUP(clFiscalYear,rgPerpCal,3,TRUE),rgPerpMons,2,TRUE)),3,5)</f>
        <v>23</v>
      </c>
      <c r="AY39" s="182">
        <f ca="1">OFFSET(INDIRECT(VLOOKUP(VLOOKUP(clFiscalYear,rgPerpCal,3,TRUE),rgPerpMons,2,TRUE)),3,6)</f>
        <v>24</v>
      </c>
      <c r="AZ39" s="181">
        <f t="shared" si="42"/>
        <v>45340</v>
      </c>
      <c r="BA39" s="181">
        <f t="shared" si="42"/>
        <v>45341</v>
      </c>
      <c r="BB39" s="181">
        <f t="shared" si="42"/>
        <v>45342</v>
      </c>
      <c r="BC39" s="181">
        <f t="shared" si="42"/>
        <v>45343</v>
      </c>
      <c r="BD39" s="181">
        <f t="shared" si="42"/>
        <v>45344</v>
      </c>
      <c r="BE39" s="181">
        <f t="shared" si="42"/>
        <v>45345</v>
      </c>
      <c r="BF39" s="181">
        <f t="shared" si="42"/>
        <v>45346</v>
      </c>
      <c r="BG39" s="182" t="str">
        <f t="shared" si="23"/>
        <v>.18</v>
      </c>
      <c r="BH39" s="182" t="str">
        <f t="shared" si="24"/>
        <v>.19</v>
      </c>
      <c r="BI39" s="182" t="str">
        <f t="shared" si="8"/>
        <v>.20</v>
      </c>
      <c r="BJ39" s="182" t="str">
        <f t="shared" si="9"/>
        <v>.21</v>
      </c>
      <c r="BK39" s="182" t="str">
        <f t="shared" si="10"/>
        <v>.22</v>
      </c>
      <c r="BL39" s="182" t="str">
        <f t="shared" si="11"/>
        <v>.23</v>
      </c>
      <c r="BM39" s="182" t="str">
        <f t="shared" si="12"/>
        <v>.24</v>
      </c>
      <c r="BN39" s="218" t="str">
        <f t="shared" si="25"/>
        <v>.18</v>
      </c>
      <c r="BO39" s="218" t="str">
        <f t="shared" si="26"/>
        <v>.19</v>
      </c>
      <c r="BP39" s="218" t="str">
        <f t="shared" si="13"/>
        <v>.20</v>
      </c>
      <c r="BQ39" s="218" t="str">
        <f t="shared" si="14"/>
        <v>.21</v>
      </c>
      <c r="BR39" s="218" t="str">
        <f t="shared" si="15"/>
        <v>.22</v>
      </c>
      <c r="BS39" s="218" t="str">
        <f t="shared" si="16"/>
        <v>.23</v>
      </c>
      <c r="BT39" s="218" t="str">
        <f t="shared" si="17"/>
        <v>.24</v>
      </c>
      <c r="BU39" s="218" t="str">
        <f t="shared" si="27"/>
        <v>.18</v>
      </c>
      <c r="BV39" s="218" t="str">
        <f t="shared" si="28"/>
        <v>.19</v>
      </c>
      <c r="BW39" s="218" t="str">
        <f t="shared" si="18"/>
        <v>.20</v>
      </c>
      <c r="BX39" s="218" t="str">
        <f t="shared" si="19"/>
        <v>.21</v>
      </c>
      <c r="BY39" s="218" t="str">
        <f t="shared" si="20"/>
        <v>.22</v>
      </c>
      <c r="BZ39" s="218" t="str">
        <f t="shared" si="21"/>
        <v>.23</v>
      </c>
      <c r="CA39" s="218" t="str">
        <f t="shared" si="22"/>
        <v>.24</v>
      </c>
    </row>
    <row r="40" spans="8:79" ht="13.5" thickBot="1">
      <c r="H40" s="196"/>
      <c r="J40" s="182">
        <f t="shared" si="35"/>
        <v>25</v>
      </c>
      <c r="K40" s="182">
        <f t="shared" si="36"/>
        <v>26</v>
      </c>
      <c r="L40" s="182">
        <f t="shared" si="37"/>
        <v>27</v>
      </c>
      <c r="M40" s="182">
        <f t="shared" si="38"/>
        <v>28</v>
      </c>
      <c r="N40" s="182">
        <f t="shared" si="39"/>
        <v>29</v>
      </c>
      <c r="O40" s="182">
        <f t="shared" si="40"/>
        <v>0</v>
      </c>
      <c r="P40" s="182">
        <f t="shared" si="41"/>
        <v>0</v>
      </c>
      <c r="S40" s="320">
        <v>2002</v>
      </c>
      <c r="T40" s="320">
        <v>3</v>
      </c>
      <c r="U40" s="320">
        <v>20</v>
      </c>
      <c r="V40" s="320">
        <v>6</v>
      </c>
      <c r="W40" s="320">
        <v>9</v>
      </c>
      <c r="X40" s="320">
        <v>4</v>
      </c>
      <c r="Y40" s="320">
        <v>14</v>
      </c>
      <c r="Z40" s="194">
        <v>1</v>
      </c>
      <c r="AA40" s="194">
        <v>4</v>
      </c>
      <c r="AB40" s="194">
        <v>14</v>
      </c>
      <c r="AC40" s="194">
        <v>2</v>
      </c>
      <c r="AD40" s="194">
        <v>12</v>
      </c>
      <c r="AE40" s="194">
        <v>7</v>
      </c>
      <c r="AG40" s="194">
        <v>3</v>
      </c>
      <c r="AH40" s="204" t="s">
        <v>186</v>
      </c>
      <c r="AJ40" s="181" t="s">
        <v>211</v>
      </c>
      <c r="AS40" s="182">
        <f ca="1">OFFSET(INDIRECT(VLOOKUP(VLOOKUP(clFiscalYear,rgPerpCal,3,TRUE),rgPerpMons,2,TRUE)),4,0)</f>
        <v>25</v>
      </c>
      <c r="AT40" s="182">
        <f ca="1">OFFSET(INDIRECT(VLOOKUP(VLOOKUP(clFiscalYear,rgPerpCal,3,TRUE),rgPerpMons,2,TRUE)),4,1)</f>
        <v>26</v>
      </c>
      <c r="AU40" s="182">
        <f ca="1">OFFSET(INDIRECT(VLOOKUP(VLOOKUP(clFiscalYear,rgPerpCal,3,TRUE),rgPerpMons,2,TRUE)),4,2)</f>
        <v>27</v>
      </c>
      <c r="AV40" s="182">
        <f ca="1">OFFSET(INDIRECT(VLOOKUP(VLOOKUP(clFiscalYear,rgPerpCal,3,TRUE),rgPerpMons,2,TRUE)),4,3)</f>
        <v>28</v>
      </c>
      <c r="AW40" s="182">
        <f ca="1">OFFSET(INDIRECT(VLOOKUP(VLOOKUP(clFiscalYear,rgPerpCal,3,TRUE),rgPerpMons,2,TRUE)),4,4)</f>
        <v>29</v>
      </c>
      <c r="AX40" s="182">
        <f ca="1">OFFSET(INDIRECT(VLOOKUP(VLOOKUP(clFiscalYear,rgPerpCal,3,TRUE),rgPerpMons,2,TRUE)),4,5)</f>
        <v>0</v>
      </c>
      <c r="AY40" s="182">
        <f ca="1">OFFSET(INDIRECT(VLOOKUP(VLOOKUP(clFiscalYear,rgPerpCal,3,TRUE),rgPerpMons,2,TRUE)),4,6)</f>
        <v>0</v>
      </c>
      <c r="AZ40" s="181">
        <f t="shared" si="42"/>
        <v>45347</v>
      </c>
      <c r="BA40" s="181">
        <f t="shared" si="42"/>
        <v>45348</v>
      </c>
      <c r="BB40" s="181">
        <f t="shared" si="42"/>
        <v>45349</v>
      </c>
      <c r="BC40" s="181">
        <f t="shared" si="42"/>
        <v>45350</v>
      </c>
      <c r="BD40" s="181">
        <f t="shared" si="42"/>
        <v>45351</v>
      </c>
      <c r="BE40" s="181">
        <f t="shared" si="42"/>
        <v>0</v>
      </c>
      <c r="BF40" s="181">
        <f t="shared" si="42"/>
        <v>0</v>
      </c>
      <c r="BG40" s="182" t="str">
        <f t="shared" si="23"/>
        <v>.25</v>
      </c>
      <c r="BH40" s="182" t="str">
        <f t="shared" si="24"/>
        <v>.26</v>
      </c>
      <c r="BI40" s="182" t="str">
        <f t="shared" si="8"/>
        <v>.27</v>
      </c>
      <c r="BJ40" s="182" t="str">
        <f t="shared" si="9"/>
        <v>.28</v>
      </c>
      <c r="BK40" s="182" t="str">
        <f t="shared" si="10"/>
        <v>.29</v>
      </c>
      <c r="BL40" s="182">
        <f t="shared" si="11"/>
        <v>0</v>
      </c>
      <c r="BM40" s="182">
        <f t="shared" si="12"/>
        <v>0</v>
      </c>
      <c r="BN40" s="218" t="str">
        <f t="shared" si="25"/>
        <v>.25</v>
      </c>
      <c r="BO40" s="218" t="str">
        <f t="shared" si="26"/>
        <v>.26</v>
      </c>
      <c r="BP40" s="218" t="str">
        <f t="shared" si="13"/>
        <v>.27</v>
      </c>
      <c r="BQ40" s="218" t="str">
        <f t="shared" si="14"/>
        <v>.28</v>
      </c>
      <c r="BR40" s="218" t="str">
        <f t="shared" si="15"/>
        <v>.29</v>
      </c>
      <c r="BS40" s="218">
        <f t="shared" si="16"/>
        <v>0</v>
      </c>
      <c r="BT40" s="218">
        <f t="shared" si="17"/>
        <v>0</v>
      </c>
      <c r="BU40" s="218" t="str">
        <f t="shared" si="27"/>
        <v>.25</v>
      </c>
      <c r="BV40" s="218" t="str">
        <f t="shared" si="28"/>
        <v>.26</v>
      </c>
      <c r="BW40" s="218" t="str">
        <f t="shared" si="18"/>
        <v>.27</v>
      </c>
      <c r="BX40" s="218" t="str">
        <f t="shared" si="19"/>
        <v>.28</v>
      </c>
      <c r="BY40" s="218" t="str">
        <f t="shared" si="20"/>
        <v>.29</v>
      </c>
      <c r="BZ40" s="218">
        <f t="shared" si="21"/>
        <v>0</v>
      </c>
      <c r="CA40" s="218">
        <f t="shared" si="22"/>
        <v>0</v>
      </c>
    </row>
    <row r="41" spans="6:79" ht="14.25" thickBot="1" thickTop="1">
      <c r="F41" s="216" t="s">
        <v>254</v>
      </c>
      <c r="G41" s="217">
        <v>2024</v>
      </c>
      <c r="J41" s="182">
        <f t="shared" si="35"/>
        <v>31</v>
      </c>
      <c r="K41" s="182">
        <f t="shared" si="36"/>
        <v>0</v>
      </c>
      <c r="L41" s="182">
        <f t="shared" si="37"/>
        <v>0</v>
      </c>
      <c r="M41" s="182">
        <f t="shared" si="38"/>
        <v>0</v>
      </c>
      <c r="N41" s="182">
        <f t="shared" si="39"/>
        <v>0</v>
      </c>
      <c r="O41" s="182">
        <f t="shared" si="40"/>
        <v>1</v>
      </c>
      <c r="P41" s="182">
        <f t="shared" si="41"/>
        <v>2</v>
      </c>
      <c r="S41" s="319">
        <v>2003</v>
      </c>
      <c r="T41" s="319">
        <v>4</v>
      </c>
      <c r="U41" s="319">
        <v>21</v>
      </c>
      <c r="V41" s="319">
        <v>7</v>
      </c>
      <c r="W41" s="319">
        <v>10</v>
      </c>
      <c r="X41" s="319">
        <v>5</v>
      </c>
      <c r="Y41" s="319">
        <v>8</v>
      </c>
      <c r="Z41" s="320">
        <v>2</v>
      </c>
      <c r="AA41" s="320">
        <v>5</v>
      </c>
      <c r="AB41" s="320">
        <v>8</v>
      </c>
      <c r="AC41" s="320">
        <v>3</v>
      </c>
      <c r="AD41" s="320">
        <v>13</v>
      </c>
      <c r="AE41" s="320">
        <v>1</v>
      </c>
      <c r="AG41" s="194">
        <v>4</v>
      </c>
      <c r="AH41" s="204" t="s">
        <v>190</v>
      </c>
      <c r="AJ41" s="181" t="s">
        <v>212</v>
      </c>
      <c r="AS41" s="182">
        <f ca="1">OFFSET(INDIRECT(VLOOKUP(VLOOKUP(clFiscalYear,rgPerpCal,4,TRUE),rgPerpMons,2,TRUE)),0,0)</f>
        <v>31</v>
      </c>
      <c r="AT41" s="182">
        <f ca="1">OFFSET(INDIRECT(VLOOKUP(VLOOKUP(clFiscalYear,rgPerpCal,4,TRUE),rgPerpMons,2,TRUE)),0,1)</f>
        <v>0</v>
      </c>
      <c r="AU41" s="182">
        <f ca="1">OFFSET(INDIRECT(VLOOKUP(VLOOKUP(clFiscalYear,rgPerpCal,4,TRUE),rgPerpMons,2,TRUE)),0,2)</f>
        <v>0</v>
      </c>
      <c r="AV41" s="182">
        <f ca="1">OFFSET(INDIRECT(VLOOKUP(VLOOKUP(clFiscalYear,rgPerpCal,4,TRUE),rgPerpMons,2,TRUE)),0,3)</f>
        <v>0</v>
      </c>
      <c r="AW41" s="182">
        <f ca="1">OFFSET(INDIRECT(VLOOKUP(VLOOKUP(clFiscalYear,rgPerpCal,4,TRUE),rgPerpMons,2,TRUE)),0,4)</f>
        <v>0</v>
      </c>
      <c r="AX41" s="182">
        <f ca="1">OFFSET(INDIRECT(VLOOKUP(VLOOKUP(clFiscalYear,rgPerpCal,4,TRUE),rgPerpMons,2,TRUE)),0,5)</f>
        <v>1</v>
      </c>
      <c r="AY41" s="182">
        <f ca="1">OFFSET(INDIRECT(VLOOKUP(VLOOKUP(clFiscalYear,rgPerpCal,4,TRUE),rgPerpMons,2,TRUE)),0,6)</f>
        <v>2</v>
      </c>
      <c r="AZ41" s="181">
        <f aca="true" t="shared" si="43" ref="AZ41:BF45">IF(AS41&lt;&gt;0,DATEVALUE(AS41&amp;" March "&amp;clFiscalYear),0)</f>
        <v>45382</v>
      </c>
      <c r="BA41" s="181">
        <f t="shared" si="43"/>
        <v>0</v>
      </c>
      <c r="BB41" s="181">
        <f t="shared" si="43"/>
        <v>0</v>
      </c>
      <c r="BC41" s="181">
        <f t="shared" si="43"/>
        <v>0</v>
      </c>
      <c r="BD41" s="181">
        <f t="shared" si="43"/>
        <v>0</v>
      </c>
      <c r="BE41" s="181">
        <f t="shared" si="43"/>
        <v>45352</v>
      </c>
      <c r="BF41" s="181">
        <f t="shared" si="43"/>
        <v>45353</v>
      </c>
      <c r="BG41" s="182" t="str">
        <f t="shared" si="23"/>
        <v>.31</v>
      </c>
      <c r="BH41" s="182">
        <f t="shared" si="24"/>
        <v>0</v>
      </c>
      <c r="BI41" s="182">
        <f t="shared" si="8"/>
        <v>0</v>
      </c>
      <c r="BJ41" s="182">
        <f t="shared" si="9"/>
        <v>0</v>
      </c>
      <c r="BK41" s="182">
        <f t="shared" si="10"/>
        <v>0</v>
      </c>
      <c r="BL41" s="182" t="str">
        <f t="shared" si="11"/>
        <v>.1</v>
      </c>
      <c r="BM41" s="182" t="str">
        <f t="shared" si="12"/>
        <v>.2</v>
      </c>
      <c r="BN41" s="218" t="str">
        <f t="shared" si="25"/>
        <v>.31</v>
      </c>
      <c r="BO41" s="218">
        <f t="shared" si="26"/>
        <v>0</v>
      </c>
      <c r="BP41" s="218">
        <f t="shared" si="13"/>
        <v>0</v>
      </c>
      <c r="BQ41" s="218">
        <f t="shared" si="14"/>
        <v>0</v>
      </c>
      <c r="BR41" s="218">
        <f t="shared" si="15"/>
        <v>0</v>
      </c>
      <c r="BS41" s="218" t="str">
        <f t="shared" si="16"/>
        <v>.1</v>
      </c>
      <c r="BT41" s="218" t="str">
        <f t="shared" si="17"/>
        <v>.2</v>
      </c>
      <c r="BU41" s="218" t="str">
        <f t="shared" si="27"/>
        <v>.31</v>
      </c>
      <c r="BV41" s="218">
        <f t="shared" si="28"/>
        <v>0</v>
      </c>
      <c r="BW41" s="218">
        <f t="shared" si="18"/>
        <v>0</v>
      </c>
      <c r="BX41" s="218">
        <f t="shared" si="19"/>
        <v>0</v>
      </c>
      <c r="BY41" s="218">
        <f t="shared" si="20"/>
        <v>0</v>
      </c>
      <c r="BZ41" s="218" t="str">
        <f t="shared" si="21"/>
        <v>.1</v>
      </c>
      <c r="CA41" s="218" t="str">
        <f t="shared" si="22"/>
        <v>.2</v>
      </c>
    </row>
    <row r="42" spans="6:79" ht="13.5" thickTop="1">
      <c r="F42" s="214" t="s">
        <v>176</v>
      </c>
      <c r="G42" s="215">
        <f>DATE(clFiscalYear-1,7,1)</f>
        <v>45108</v>
      </c>
      <c r="J42" s="182">
        <f t="shared" si="35"/>
        <v>3</v>
      </c>
      <c r="K42" s="182">
        <f t="shared" si="36"/>
        <v>4</v>
      </c>
      <c r="L42" s="182">
        <f t="shared" si="37"/>
        <v>5</v>
      </c>
      <c r="M42" s="182">
        <f t="shared" si="38"/>
        <v>6</v>
      </c>
      <c r="N42" s="182">
        <f t="shared" si="39"/>
        <v>7</v>
      </c>
      <c r="O42" s="182">
        <f t="shared" si="40"/>
        <v>8</v>
      </c>
      <c r="P42" s="182">
        <f t="shared" si="41"/>
        <v>9</v>
      </c>
      <c r="S42" s="203">
        <v>2004</v>
      </c>
      <c r="T42" s="194">
        <v>5</v>
      </c>
      <c r="U42" s="194">
        <v>22</v>
      </c>
      <c r="V42" s="194">
        <v>2</v>
      </c>
      <c r="W42" s="194">
        <v>12</v>
      </c>
      <c r="X42" s="194">
        <v>7</v>
      </c>
      <c r="Y42" s="194">
        <v>10</v>
      </c>
      <c r="Z42" s="319">
        <v>3</v>
      </c>
      <c r="AA42" s="319">
        <v>6</v>
      </c>
      <c r="AB42" s="319">
        <v>9</v>
      </c>
      <c r="AC42" s="319">
        <v>4</v>
      </c>
      <c r="AD42" s="319">
        <v>14</v>
      </c>
      <c r="AE42" s="319">
        <v>2</v>
      </c>
      <c r="AG42" s="194">
        <v>5</v>
      </c>
      <c r="AH42" s="204" t="s">
        <v>187</v>
      </c>
      <c r="AJ42" s="181" t="s">
        <v>213</v>
      </c>
      <c r="AS42" s="182">
        <f ca="1">OFFSET(INDIRECT(VLOOKUP(VLOOKUP(clFiscalYear,rgPerpCal,4,TRUE),rgPerpMons,2,TRUE)),1,0)</f>
        <v>3</v>
      </c>
      <c r="AT42" s="182">
        <f ca="1">OFFSET(INDIRECT(VLOOKUP(VLOOKUP(clFiscalYear,rgPerpCal,4,TRUE),rgPerpMons,2,TRUE)),1,1)</f>
        <v>4</v>
      </c>
      <c r="AU42" s="182">
        <f ca="1">OFFSET(INDIRECT(VLOOKUP(VLOOKUP(clFiscalYear,rgPerpCal,4,TRUE),rgPerpMons,2,TRUE)),1,2)</f>
        <v>5</v>
      </c>
      <c r="AV42" s="182">
        <f ca="1">OFFSET(INDIRECT(VLOOKUP(VLOOKUP(clFiscalYear,rgPerpCal,4,TRUE),rgPerpMons,2,TRUE)),1,3)</f>
        <v>6</v>
      </c>
      <c r="AW42" s="182">
        <f ca="1">OFFSET(INDIRECT(VLOOKUP(VLOOKUP(clFiscalYear,rgPerpCal,4,TRUE),rgPerpMons,2,TRUE)),1,4)</f>
        <v>7</v>
      </c>
      <c r="AX42" s="182">
        <f ca="1">OFFSET(INDIRECT(VLOOKUP(VLOOKUP(clFiscalYear,rgPerpCal,4,TRUE),rgPerpMons,2,TRUE)),1,5)</f>
        <v>8</v>
      </c>
      <c r="AY42" s="182">
        <f ca="1">OFFSET(INDIRECT(VLOOKUP(VLOOKUP(clFiscalYear,rgPerpCal,4,TRUE),rgPerpMons,2,TRUE)),1,6)</f>
        <v>9</v>
      </c>
      <c r="AZ42" s="181">
        <f t="shared" si="43"/>
        <v>45354</v>
      </c>
      <c r="BA42" s="181">
        <f t="shared" si="43"/>
        <v>45355</v>
      </c>
      <c r="BB42" s="181">
        <f t="shared" si="43"/>
        <v>45356</v>
      </c>
      <c r="BC42" s="181">
        <f t="shared" si="43"/>
        <v>45357</v>
      </c>
      <c r="BD42" s="181">
        <f t="shared" si="43"/>
        <v>45358</v>
      </c>
      <c r="BE42" s="181">
        <f t="shared" si="43"/>
        <v>45359</v>
      </c>
      <c r="BF42" s="181">
        <f t="shared" si="43"/>
        <v>45360</v>
      </c>
      <c r="BG42" s="182" t="str">
        <f t="shared" si="23"/>
        <v>.3</v>
      </c>
      <c r="BH42" s="182" t="str">
        <f t="shared" si="24"/>
        <v>.4</v>
      </c>
      <c r="BI42" s="182" t="str">
        <f t="shared" si="8"/>
        <v>.5</v>
      </c>
      <c r="BJ42" s="182" t="str">
        <f t="shared" si="9"/>
        <v>.6</v>
      </c>
      <c r="BK42" s="182" t="str">
        <f t="shared" si="10"/>
        <v>.7</v>
      </c>
      <c r="BL42" s="182" t="str">
        <f t="shared" si="11"/>
        <v>.8</v>
      </c>
      <c r="BM42" s="182" t="str">
        <f t="shared" si="12"/>
        <v>.9</v>
      </c>
      <c r="BN42" s="218" t="str">
        <f t="shared" si="25"/>
        <v>.3</v>
      </c>
      <c r="BO42" s="218" t="str">
        <f t="shared" si="26"/>
        <v>.4</v>
      </c>
      <c r="BP42" s="218" t="str">
        <f t="shared" si="13"/>
        <v>.5</v>
      </c>
      <c r="BQ42" s="218" t="str">
        <f t="shared" si="14"/>
        <v>.6</v>
      </c>
      <c r="BR42" s="218" t="str">
        <f t="shared" si="15"/>
        <v>.7</v>
      </c>
      <c r="BS42" s="218" t="str">
        <f t="shared" si="16"/>
        <v>.8</v>
      </c>
      <c r="BT42" s="218" t="str">
        <f t="shared" si="17"/>
        <v>.9</v>
      </c>
      <c r="BU42" s="218" t="str">
        <f t="shared" si="27"/>
        <v>.3</v>
      </c>
      <c r="BV42" s="218" t="str">
        <f t="shared" si="28"/>
        <v>.4</v>
      </c>
      <c r="BW42" s="218" t="str">
        <f t="shared" si="18"/>
        <v>.5</v>
      </c>
      <c r="BX42" s="218" t="str">
        <f t="shared" si="19"/>
        <v>.6</v>
      </c>
      <c r="BY42" s="218" t="str">
        <f t="shared" si="20"/>
        <v>.7</v>
      </c>
      <c r="BZ42" s="218" t="str">
        <f t="shared" si="21"/>
        <v>.8</v>
      </c>
      <c r="CA42" s="218" t="str">
        <f t="shared" si="22"/>
        <v>.9</v>
      </c>
    </row>
    <row r="43" spans="6:79" ht="12.75">
      <c r="F43" s="214" t="s">
        <v>177</v>
      </c>
      <c r="G43" s="215">
        <f>DATE(clFiscalYear,6,30)</f>
        <v>45473</v>
      </c>
      <c r="J43" s="182">
        <f t="shared" si="35"/>
        <v>10</v>
      </c>
      <c r="K43" s="182">
        <f t="shared" si="36"/>
        <v>11</v>
      </c>
      <c r="L43" s="182">
        <f t="shared" si="37"/>
        <v>12</v>
      </c>
      <c r="M43" s="182">
        <f t="shared" si="38"/>
        <v>13</v>
      </c>
      <c r="N43" s="182">
        <f t="shared" si="39"/>
        <v>14</v>
      </c>
      <c r="O43" s="182">
        <f t="shared" si="40"/>
        <v>15</v>
      </c>
      <c r="P43" s="182">
        <f t="shared" si="41"/>
        <v>16</v>
      </c>
      <c r="S43" s="203">
        <v>2005</v>
      </c>
      <c r="T43" s="320">
        <v>7</v>
      </c>
      <c r="U43" s="320">
        <v>17</v>
      </c>
      <c r="V43" s="320">
        <v>3</v>
      </c>
      <c r="W43" s="320">
        <v>13</v>
      </c>
      <c r="X43" s="320">
        <v>1</v>
      </c>
      <c r="Y43" s="320">
        <v>11</v>
      </c>
      <c r="Z43" s="194">
        <v>5</v>
      </c>
      <c r="AA43" s="194">
        <v>1</v>
      </c>
      <c r="AB43" s="194">
        <v>11</v>
      </c>
      <c r="AC43" s="194">
        <v>6</v>
      </c>
      <c r="AD43" s="194">
        <v>9</v>
      </c>
      <c r="AE43" s="194">
        <v>4</v>
      </c>
      <c r="AG43" s="194">
        <v>6</v>
      </c>
      <c r="AH43" s="204" t="s">
        <v>188</v>
      </c>
      <c r="AJ43" s="181" t="s">
        <v>214</v>
      </c>
      <c r="AS43" s="182">
        <f ca="1">OFFSET(INDIRECT(VLOOKUP(VLOOKUP(clFiscalYear,rgPerpCal,4,TRUE),rgPerpMons,2,TRUE)),2,0)</f>
        <v>10</v>
      </c>
      <c r="AT43" s="182">
        <f ca="1">OFFSET(INDIRECT(VLOOKUP(VLOOKUP(clFiscalYear,rgPerpCal,4,TRUE),rgPerpMons,2,TRUE)),2,1)</f>
        <v>11</v>
      </c>
      <c r="AU43" s="182">
        <f ca="1">OFFSET(INDIRECT(VLOOKUP(VLOOKUP(clFiscalYear,rgPerpCal,4,TRUE),rgPerpMons,2,TRUE)),2,2)</f>
        <v>12</v>
      </c>
      <c r="AV43" s="182">
        <f ca="1">OFFSET(INDIRECT(VLOOKUP(VLOOKUP(clFiscalYear,rgPerpCal,4,TRUE),rgPerpMons,2,TRUE)),2,3)</f>
        <v>13</v>
      </c>
      <c r="AW43" s="182">
        <f ca="1">OFFSET(INDIRECT(VLOOKUP(VLOOKUP(clFiscalYear,rgPerpCal,4,TRUE),rgPerpMons,2,TRUE)),2,4)</f>
        <v>14</v>
      </c>
      <c r="AX43" s="182">
        <f ca="1">OFFSET(INDIRECT(VLOOKUP(VLOOKUP(clFiscalYear,rgPerpCal,4,TRUE),rgPerpMons,2,TRUE)),2,5)</f>
        <v>15</v>
      </c>
      <c r="AY43" s="182">
        <f ca="1">OFFSET(INDIRECT(VLOOKUP(VLOOKUP(clFiscalYear,rgPerpCal,4,TRUE),rgPerpMons,2,TRUE)),2,6)</f>
        <v>16</v>
      </c>
      <c r="AZ43" s="181">
        <f t="shared" si="43"/>
        <v>45361</v>
      </c>
      <c r="BA43" s="181">
        <f t="shared" si="43"/>
        <v>45362</v>
      </c>
      <c r="BB43" s="181">
        <f t="shared" si="43"/>
        <v>45363</v>
      </c>
      <c r="BC43" s="181">
        <f t="shared" si="43"/>
        <v>45364</v>
      </c>
      <c r="BD43" s="181">
        <f t="shared" si="43"/>
        <v>45365</v>
      </c>
      <c r="BE43" s="181">
        <f t="shared" si="43"/>
        <v>45366</v>
      </c>
      <c r="BF43" s="181">
        <f t="shared" si="43"/>
        <v>45367</v>
      </c>
      <c r="BG43" s="182" t="str">
        <f t="shared" si="23"/>
        <v>.10</v>
      </c>
      <c r="BH43" s="182" t="str">
        <f t="shared" si="24"/>
        <v>.11</v>
      </c>
      <c r="BI43" s="182" t="str">
        <f t="shared" si="8"/>
        <v>.12</v>
      </c>
      <c r="BJ43" s="182" t="str">
        <f t="shared" si="9"/>
        <v>.13</v>
      </c>
      <c r="BK43" s="182" t="str">
        <f t="shared" si="10"/>
        <v>.14</v>
      </c>
      <c r="BL43" s="182" t="str">
        <f t="shared" si="11"/>
        <v>.15</v>
      </c>
      <c r="BM43" s="182" t="str">
        <f t="shared" si="12"/>
        <v>.16</v>
      </c>
      <c r="BN43" s="218" t="str">
        <f t="shared" si="25"/>
        <v>.10</v>
      </c>
      <c r="BO43" s="218" t="str">
        <f t="shared" si="26"/>
        <v>.11</v>
      </c>
      <c r="BP43" s="218" t="str">
        <f t="shared" si="13"/>
        <v>.12</v>
      </c>
      <c r="BQ43" s="218" t="str">
        <f t="shared" si="14"/>
        <v>.13</v>
      </c>
      <c r="BR43" s="218" t="str">
        <f t="shared" si="15"/>
        <v>.14</v>
      </c>
      <c r="BS43" s="218" t="str">
        <f t="shared" si="16"/>
        <v>.15</v>
      </c>
      <c r="BT43" s="218" t="str">
        <f t="shared" si="17"/>
        <v>.16</v>
      </c>
      <c r="BU43" s="218" t="str">
        <f t="shared" si="27"/>
        <v>.10</v>
      </c>
      <c r="BV43" s="218" t="str">
        <f t="shared" si="28"/>
        <v>.11</v>
      </c>
      <c r="BW43" s="218" t="str">
        <f t="shared" si="18"/>
        <v>.12</v>
      </c>
      <c r="BX43" s="218" t="str">
        <f t="shared" si="19"/>
        <v>.13</v>
      </c>
      <c r="BY43" s="218" t="str">
        <f t="shared" si="20"/>
        <v>.14</v>
      </c>
      <c r="BZ43" s="218" t="str">
        <f t="shared" si="21"/>
        <v>.15</v>
      </c>
      <c r="CA43" s="218" t="str">
        <f t="shared" si="22"/>
        <v>.16</v>
      </c>
    </row>
    <row r="44" spans="6:79" ht="12.75">
      <c r="F44" s="190"/>
      <c r="G44" s="324"/>
      <c r="J44" s="182">
        <f t="shared" si="35"/>
        <v>17</v>
      </c>
      <c r="K44" s="182">
        <f t="shared" si="36"/>
        <v>18</v>
      </c>
      <c r="L44" s="182">
        <f t="shared" si="37"/>
        <v>19</v>
      </c>
      <c r="M44" s="182">
        <f t="shared" si="38"/>
        <v>20</v>
      </c>
      <c r="N44" s="182">
        <f t="shared" si="39"/>
        <v>21</v>
      </c>
      <c r="O44" s="182">
        <f t="shared" si="40"/>
        <v>22</v>
      </c>
      <c r="P44" s="182">
        <f t="shared" si="41"/>
        <v>23</v>
      </c>
      <c r="S44" s="319">
        <v>2006</v>
      </c>
      <c r="T44" s="319">
        <v>1</v>
      </c>
      <c r="U44" s="319">
        <v>18</v>
      </c>
      <c r="V44" s="319">
        <v>4</v>
      </c>
      <c r="W44" s="319">
        <v>14</v>
      </c>
      <c r="X44" s="319">
        <v>2</v>
      </c>
      <c r="Y44" s="319">
        <v>12</v>
      </c>
      <c r="Z44" s="320">
        <v>6</v>
      </c>
      <c r="AA44" s="320">
        <v>2</v>
      </c>
      <c r="AB44" s="320">
        <v>12</v>
      </c>
      <c r="AC44" s="320">
        <v>7</v>
      </c>
      <c r="AD44" s="320">
        <v>10</v>
      </c>
      <c r="AE44" s="320">
        <v>5</v>
      </c>
      <c r="AG44" s="194">
        <v>7</v>
      </c>
      <c r="AH44" s="204" t="s">
        <v>189</v>
      </c>
      <c r="AS44" s="182">
        <f ca="1">OFFSET(INDIRECT(VLOOKUP(VLOOKUP(clFiscalYear,rgPerpCal,4,TRUE),rgPerpMons,2,TRUE)),3,0)</f>
        <v>17</v>
      </c>
      <c r="AT44" s="182">
        <f ca="1">OFFSET(INDIRECT(VLOOKUP(VLOOKUP(clFiscalYear,rgPerpCal,4,TRUE),rgPerpMons,2,TRUE)),3,1)</f>
        <v>18</v>
      </c>
      <c r="AU44" s="182">
        <f ca="1">OFFSET(INDIRECT(VLOOKUP(VLOOKUP(clFiscalYear,rgPerpCal,4,TRUE),rgPerpMons,2,TRUE)),3,2)</f>
        <v>19</v>
      </c>
      <c r="AV44" s="182">
        <f ca="1">OFFSET(INDIRECT(VLOOKUP(VLOOKUP(clFiscalYear,rgPerpCal,4,TRUE),rgPerpMons,2,TRUE)),3,3)</f>
        <v>20</v>
      </c>
      <c r="AW44" s="182">
        <f ca="1">OFFSET(INDIRECT(VLOOKUP(VLOOKUP(clFiscalYear,rgPerpCal,4,TRUE),rgPerpMons,2,TRUE)),3,4)</f>
        <v>21</v>
      </c>
      <c r="AX44" s="182">
        <f ca="1">OFFSET(INDIRECT(VLOOKUP(VLOOKUP(clFiscalYear,rgPerpCal,4,TRUE),rgPerpMons,2,TRUE)),3,5)</f>
        <v>22</v>
      </c>
      <c r="AY44" s="182">
        <f ca="1">OFFSET(INDIRECT(VLOOKUP(VLOOKUP(clFiscalYear,rgPerpCal,4,TRUE),rgPerpMons,2,TRUE)),3,6)</f>
        <v>23</v>
      </c>
      <c r="AZ44" s="181">
        <f t="shared" si="43"/>
        <v>45368</v>
      </c>
      <c r="BA44" s="181">
        <f t="shared" si="43"/>
        <v>45369</v>
      </c>
      <c r="BB44" s="181">
        <f t="shared" si="43"/>
        <v>45370</v>
      </c>
      <c r="BC44" s="181">
        <f t="shared" si="43"/>
        <v>45371</v>
      </c>
      <c r="BD44" s="181">
        <f t="shared" si="43"/>
        <v>45372</v>
      </c>
      <c r="BE44" s="181">
        <f t="shared" si="43"/>
        <v>45373</v>
      </c>
      <c r="BF44" s="181">
        <f t="shared" si="43"/>
        <v>45374</v>
      </c>
      <c r="BG44" s="182" t="str">
        <f t="shared" si="23"/>
        <v>.17</v>
      </c>
      <c r="BH44" s="182" t="str">
        <f t="shared" si="24"/>
        <v>.18</v>
      </c>
      <c r="BI44" s="182" t="str">
        <f t="shared" si="8"/>
        <v>.19</v>
      </c>
      <c r="BJ44" s="182" t="str">
        <f t="shared" si="9"/>
        <v>.20</v>
      </c>
      <c r="BK44" s="182" t="str">
        <f t="shared" si="10"/>
        <v>.21</v>
      </c>
      <c r="BL44" s="182" t="str">
        <f t="shared" si="11"/>
        <v>.22</v>
      </c>
      <c r="BM44" s="182" t="str">
        <f t="shared" si="12"/>
        <v>.23</v>
      </c>
      <c r="BN44" s="218" t="str">
        <f t="shared" si="25"/>
        <v>.17</v>
      </c>
      <c r="BO44" s="218" t="str">
        <f t="shared" si="26"/>
        <v>.18</v>
      </c>
      <c r="BP44" s="218" t="str">
        <f t="shared" si="13"/>
        <v>.19</v>
      </c>
      <c r="BQ44" s="218" t="str">
        <f t="shared" si="14"/>
        <v>.20</v>
      </c>
      <c r="BR44" s="218" t="str">
        <f t="shared" si="15"/>
        <v>.21</v>
      </c>
      <c r="BS44" s="218" t="str">
        <f t="shared" si="16"/>
        <v>.22</v>
      </c>
      <c r="BT44" s="218" t="str">
        <f t="shared" si="17"/>
        <v>.23</v>
      </c>
      <c r="BU44" s="218" t="str">
        <f t="shared" si="27"/>
        <v>.17</v>
      </c>
      <c r="BV44" s="218" t="str">
        <f t="shared" si="28"/>
        <v>.18</v>
      </c>
      <c r="BW44" s="218" t="str">
        <f t="shared" si="18"/>
        <v>.19</v>
      </c>
      <c r="BX44" s="218" t="str">
        <f t="shared" si="19"/>
        <v>.20</v>
      </c>
      <c r="BY44" s="218" t="str">
        <f t="shared" si="20"/>
        <v>.21</v>
      </c>
      <c r="BZ44" s="218" t="str">
        <f t="shared" si="21"/>
        <v>.22</v>
      </c>
      <c r="CA44" s="218" t="str">
        <f t="shared" si="22"/>
        <v>.23</v>
      </c>
    </row>
    <row r="45" spans="10:79" ht="12.75">
      <c r="J45" s="182">
        <f t="shared" si="35"/>
        <v>24</v>
      </c>
      <c r="K45" s="182">
        <f t="shared" si="36"/>
        <v>25</v>
      </c>
      <c r="L45" s="182">
        <f t="shared" si="37"/>
        <v>26</v>
      </c>
      <c r="M45" s="182">
        <f t="shared" si="38"/>
        <v>27</v>
      </c>
      <c r="N45" s="182">
        <f t="shared" si="39"/>
        <v>28</v>
      </c>
      <c r="O45" s="182">
        <f t="shared" si="40"/>
        <v>29</v>
      </c>
      <c r="P45" s="182">
        <f t="shared" si="41"/>
        <v>30</v>
      </c>
      <c r="S45" s="203">
        <v>2007</v>
      </c>
      <c r="T45" s="194">
        <v>2</v>
      </c>
      <c r="U45" s="194">
        <v>19</v>
      </c>
      <c r="V45" s="194">
        <v>5</v>
      </c>
      <c r="W45" s="194">
        <v>8</v>
      </c>
      <c r="X45" s="194">
        <v>3</v>
      </c>
      <c r="Y45" s="194">
        <v>13</v>
      </c>
      <c r="Z45" s="319">
        <v>7</v>
      </c>
      <c r="AA45" s="319">
        <v>3</v>
      </c>
      <c r="AB45" s="319">
        <v>13</v>
      </c>
      <c r="AC45" s="319">
        <v>1</v>
      </c>
      <c r="AD45" s="319">
        <v>11</v>
      </c>
      <c r="AE45" s="319">
        <v>6</v>
      </c>
      <c r="AG45" s="194">
        <v>8</v>
      </c>
      <c r="AH45" s="204" t="s">
        <v>184</v>
      </c>
      <c r="AS45" s="182">
        <f ca="1">OFFSET(INDIRECT(VLOOKUP(VLOOKUP(clFiscalYear,rgPerpCal,4,TRUE),rgPerpMons,2,TRUE)),4,0)</f>
        <v>24</v>
      </c>
      <c r="AT45" s="182">
        <f ca="1">OFFSET(INDIRECT(VLOOKUP(VLOOKUP(clFiscalYear,rgPerpCal,4,TRUE),rgPerpMons,2,TRUE)),4,1)</f>
        <v>25</v>
      </c>
      <c r="AU45" s="182">
        <f ca="1">OFFSET(INDIRECT(VLOOKUP(VLOOKUP(clFiscalYear,rgPerpCal,4,TRUE),rgPerpMons,2,TRUE)),4,2)</f>
        <v>26</v>
      </c>
      <c r="AV45" s="182">
        <f ca="1">OFFSET(INDIRECT(VLOOKUP(VLOOKUP(clFiscalYear,rgPerpCal,4,TRUE),rgPerpMons,2,TRUE)),4,3)</f>
        <v>27</v>
      </c>
      <c r="AW45" s="182">
        <f ca="1">OFFSET(INDIRECT(VLOOKUP(VLOOKUP(clFiscalYear,rgPerpCal,4,TRUE),rgPerpMons,2,TRUE)),4,4)</f>
        <v>28</v>
      </c>
      <c r="AX45" s="182">
        <f ca="1">OFFSET(INDIRECT(VLOOKUP(VLOOKUP(clFiscalYear,rgPerpCal,4,TRUE),rgPerpMons,2,TRUE)),4,5)</f>
        <v>29</v>
      </c>
      <c r="AY45" s="182">
        <f ca="1">OFFSET(INDIRECT(VLOOKUP(VLOOKUP(clFiscalYear,rgPerpCal,4,TRUE),rgPerpMons,2,TRUE)),4,6)</f>
        <v>30</v>
      </c>
      <c r="AZ45" s="181">
        <f t="shared" si="43"/>
        <v>45375</v>
      </c>
      <c r="BA45" s="181">
        <f t="shared" si="43"/>
        <v>45376</v>
      </c>
      <c r="BB45" s="181">
        <f t="shared" si="43"/>
        <v>45377</v>
      </c>
      <c r="BC45" s="181">
        <f t="shared" si="43"/>
        <v>45378</v>
      </c>
      <c r="BD45" s="181">
        <f t="shared" si="43"/>
        <v>45379</v>
      </c>
      <c r="BE45" s="181">
        <f t="shared" si="43"/>
        <v>45380</v>
      </c>
      <c r="BF45" s="181">
        <f t="shared" si="43"/>
        <v>45381</v>
      </c>
      <c r="BG45" s="182" t="str">
        <f t="shared" si="23"/>
        <v>.24</v>
      </c>
      <c r="BH45" s="182" t="str">
        <f t="shared" si="24"/>
        <v>.25</v>
      </c>
      <c r="BI45" s="182" t="str">
        <f t="shared" si="8"/>
        <v>.26</v>
      </c>
      <c r="BJ45" s="182" t="str">
        <f t="shared" si="9"/>
        <v>.27</v>
      </c>
      <c r="BK45" s="182" t="str">
        <f t="shared" si="10"/>
        <v>.28</v>
      </c>
      <c r="BL45" s="182" t="str">
        <f t="shared" si="11"/>
        <v>.29</v>
      </c>
      <c r="BM45" s="182" t="str">
        <f t="shared" si="12"/>
        <v>.30</v>
      </c>
      <c r="BN45" s="218" t="str">
        <f t="shared" si="25"/>
        <v>.24</v>
      </c>
      <c r="BO45" s="218" t="str">
        <f t="shared" si="26"/>
        <v>.25</v>
      </c>
      <c r="BP45" s="218" t="str">
        <f t="shared" si="13"/>
        <v>.26</v>
      </c>
      <c r="BQ45" s="218" t="str">
        <f t="shared" si="14"/>
        <v>.27</v>
      </c>
      <c r="BR45" s="218" t="str">
        <f t="shared" si="15"/>
        <v>.28</v>
      </c>
      <c r="BS45" s="218" t="str">
        <f t="shared" si="16"/>
        <v>.29</v>
      </c>
      <c r="BT45" s="218" t="str">
        <f t="shared" si="17"/>
        <v>.30</v>
      </c>
      <c r="BU45" s="218" t="str">
        <f t="shared" si="27"/>
        <v>.24</v>
      </c>
      <c r="BV45" s="218" t="str">
        <f t="shared" si="28"/>
        <v>.25</v>
      </c>
      <c r="BW45" s="218" t="str">
        <f t="shared" si="18"/>
        <v>.26</v>
      </c>
      <c r="BX45" s="218" t="str">
        <f t="shared" si="19"/>
        <v>.27</v>
      </c>
      <c r="BY45" s="218" t="str">
        <f t="shared" si="20"/>
        <v>.28</v>
      </c>
      <c r="BZ45" s="218" t="str">
        <f t="shared" si="21"/>
        <v>.29</v>
      </c>
      <c r="CA45" s="218" t="str">
        <f t="shared" si="22"/>
        <v>.30</v>
      </c>
    </row>
    <row r="46" spans="10:79" ht="12.75">
      <c r="J46" s="182">
        <f t="shared" si="35"/>
        <v>0</v>
      </c>
      <c r="K46" s="182">
        <f t="shared" si="36"/>
        <v>1</v>
      </c>
      <c r="L46" s="182">
        <f t="shared" si="37"/>
        <v>2</v>
      </c>
      <c r="M46" s="182">
        <f t="shared" si="38"/>
        <v>3</v>
      </c>
      <c r="N46" s="182">
        <f t="shared" si="39"/>
        <v>4</v>
      </c>
      <c r="O46" s="182">
        <f t="shared" si="40"/>
        <v>5</v>
      </c>
      <c r="P46" s="182">
        <f t="shared" si="41"/>
        <v>6</v>
      </c>
      <c r="S46" s="320">
        <v>2008</v>
      </c>
      <c r="T46" s="320">
        <v>3</v>
      </c>
      <c r="U46" s="320">
        <v>27</v>
      </c>
      <c r="V46" s="320">
        <v>7</v>
      </c>
      <c r="W46" s="320">
        <v>10</v>
      </c>
      <c r="X46" s="320">
        <v>5</v>
      </c>
      <c r="Y46" s="320">
        <v>8</v>
      </c>
      <c r="Z46" s="194">
        <v>1</v>
      </c>
      <c r="AA46" s="194">
        <v>4</v>
      </c>
      <c r="AB46" s="194">
        <v>14</v>
      </c>
      <c r="AC46" s="194">
        <v>2</v>
      </c>
      <c r="AD46" s="194">
        <v>12</v>
      </c>
      <c r="AE46" s="194">
        <v>7</v>
      </c>
      <c r="AG46" s="194">
        <v>9</v>
      </c>
      <c r="AH46" s="204" t="s">
        <v>191</v>
      </c>
      <c r="AS46" s="182">
        <f ca="1">OFFSET(INDIRECT(VLOOKUP(VLOOKUP(clFiscalYear,rgPerpCal,5,TRUE),rgPerpMons,2,TRUE)),0,0)</f>
        <v>0</v>
      </c>
      <c r="AT46" s="182">
        <f ca="1">OFFSET(INDIRECT(VLOOKUP(VLOOKUP(clFiscalYear,rgPerpCal,5,TRUE),rgPerpMons,2,TRUE)),0,1)</f>
        <v>1</v>
      </c>
      <c r="AU46" s="182">
        <f ca="1">OFFSET(INDIRECT(VLOOKUP(VLOOKUP(clFiscalYear,rgPerpCal,5,TRUE),rgPerpMons,2,TRUE)),0,2)</f>
        <v>2</v>
      </c>
      <c r="AV46" s="182">
        <f ca="1">OFFSET(INDIRECT(VLOOKUP(VLOOKUP(clFiscalYear,rgPerpCal,5,TRUE),rgPerpMons,2,TRUE)),0,3)</f>
        <v>3</v>
      </c>
      <c r="AW46" s="182">
        <f ca="1">OFFSET(INDIRECT(VLOOKUP(VLOOKUP(clFiscalYear,rgPerpCal,5,TRUE),rgPerpMons,2,TRUE)),0,4)</f>
        <v>4</v>
      </c>
      <c r="AX46" s="182">
        <f ca="1">OFFSET(INDIRECT(VLOOKUP(VLOOKUP(clFiscalYear,rgPerpCal,5,TRUE),rgPerpMons,2,TRUE)),0,5)</f>
        <v>5</v>
      </c>
      <c r="AY46" s="182">
        <f ca="1">OFFSET(INDIRECT(VLOOKUP(VLOOKUP(clFiscalYear,rgPerpCal,5,TRUE),rgPerpMons,2,TRUE)),0,6)</f>
        <v>6</v>
      </c>
      <c r="AZ46" s="181">
        <f aca="true" t="shared" si="44" ref="AZ46:BF50">IF(AS46&lt;&gt;0,DATEVALUE(AS46&amp;" April "&amp;clFiscalYear),0)</f>
        <v>0</v>
      </c>
      <c r="BA46" s="181">
        <f t="shared" si="44"/>
        <v>45383</v>
      </c>
      <c r="BB46" s="181">
        <f t="shared" si="44"/>
        <v>45384</v>
      </c>
      <c r="BC46" s="181">
        <f t="shared" si="44"/>
        <v>45385</v>
      </c>
      <c r="BD46" s="181">
        <f t="shared" si="44"/>
        <v>45386</v>
      </c>
      <c r="BE46" s="181">
        <f t="shared" si="44"/>
        <v>45387</v>
      </c>
      <c r="BF46" s="181">
        <f t="shared" si="44"/>
        <v>45388</v>
      </c>
      <c r="BG46" s="182">
        <f t="shared" si="23"/>
        <v>0</v>
      </c>
      <c r="BH46" s="182" t="str">
        <f t="shared" si="24"/>
        <v>.1</v>
      </c>
      <c r="BI46" s="182" t="str">
        <f t="shared" si="8"/>
        <v>.2</v>
      </c>
      <c r="BJ46" s="182" t="str">
        <f t="shared" si="9"/>
        <v>.3</v>
      </c>
      <c r="BK46" s="182" t="str">
        <f t="shared" si="10"/>
        <v>.4</v>
      </c>
      <c r="BL46" s="182" t="str">
        <f t="shared" si="11"/>
        <v>.5</v>
      </c>
      <c r="BM46" s="182" t="str">
        <f t="shared" si="12"/>
        <v>.6</v>
      </c>
      <c r="BN46" s="218">
        <f t="shared" si="25"/>
        <v>0</v>
      </c>
      <c r="BO46" s="218" t="str">
        <f t="shared" si="26"/>
        <v>.1</v>
      </c>
      <c r="BP46" s="218" t="str">
        <f t="shared" si="13"/>
        <v>.2</v>
      </c>
      <c r="BQ46" s="218" t="str">
        <f t="shared" si="14"/>
        <v>.3</v>
      </c>
      <c r="BR46" s="218" t="str">
        <f t="shared" si="15"/>
        <v>.4</v>
      </c>
      <c r="BS46" s="218" t="str">
        <f t="shared" si="16"/>
        <v>.5</v>
      </c>
      <c r="BT46" s="218" t="str">
        <f t="shared" si="17"/>
        <v>.6</v>
      </c>
      <c r="BU46" s="218">
        <f t="shared" si="27"/>
        <v>0</v>
      </c>
      <c r="BV46" s="218" t="str">
        <f t="shared" si="28"/>
        <v>.1</v>
      </c>
      <c r="BW46" s="218" t="str">
        <f t="shared" si="18"/>
        <v>.2</v>
      </c>
      <c r="BX46" s="218" t="str">
        <f t="shared" si="19"/>
        <v>.3</v>
      </c>
      <c r="BY46" s="218" t="str">
        <f t="shared" si="20"/>
        <v>.4</v>
      </c>
      <c r="BZ46" s="218" t="str">
        <f t="shared" si="21"/>
        <v>.5</v>
      </c>
      <c r="CA46" s="218" t="str">
        <f t="shared" si="22"/>
        <v>.6</v>
      </c>
    </row>
    <row r="47" spans="10:79" ht="12.75">
      <c r="J47" s="182">
        <f t="shared" si="35"/>
        <v>7</v>
      </c>
      <c r="K47" s="182">
        <f t="shared" si="36"/>
        <v>8</v>
      </c>
      <c r="L47" s="182">
        <f t="shared" si="37"/>
        <v>9</v>
      </c>
      <c r="M47" s="182">
        <f t="shared" si="38"/>
        <v>10</v>
      </c>
      <c r="N47" s="182">
        <f t="shared" si="39"/>
        <v>11</v>
      </c>
      <c r="O47" s="182">
        <f t="shared" si="40"/>
        <v>12</v>
      </c>
      <c r="P47" s="182">
        <f t="shared" si="41"/>
        <v>13</v>
      </c>
      <c r="S47" s="319">
        <v>2009</v>
      </c>
      <c r="T47" s="319">
        <v>5</v>
      </c>
      <c r="U47" s="319">
        <v>15</v>
      </c>
      <c r="V47" s="319">
        <v>1</v>
      </c>
      <c r="W47" s="319">
        <v>11</v>
      </c>
      <c r="X47" s="319">
        <v>6</v>
      </c>
      <c r="Y47" s="319">
        <v>9</v>
      </c>
      <c r="Z47" s="320">
        <v>3</v>
      </c>
      <c r="AA47" s="320">
        <v>6</v>
      </c>
      <c r="AB47" s="320">
        <v>9</v>
      </c>
      <c r="AC47" s="320">
        <v>4</v>
      </c>
      <c r="AD47" s="320">
        <v>14</v>
      </c>
      <c r="AE47" s="320">
        <v>2</v>
      </c>
      <c r="AG47" s="194">
        <v>10</v>
      </c>
      <c r="AH47" s="204" t="s">
        <v>192</v>
      </c>
      <c r="AS47" s="182">
        <f ca="1">OFFSET(INDIRECT(VLOOKUP(VLOOKUP(clFiscalYear,rgPerpCal,5,TRUE),rgPerpMons,2,TRUE)),1,0)</f>
        <v>7</v>
      </c>
      <c r="AT47" s="182">
        <f ca="1">OFFSET(INDIRECT(VLOOKUP(VLOOKUP(clFiscalYear,rgPerpCal,5,TRUE),rgPerpMons,2,TRUE)),1,1)</f>
        <v>8</v>
      </c>
      <c r="AU47" s="182">
        <f ca="1">OFFSET(INDIRECT(VLOOKUP(VLOOKUP(clFiscalYear,rgPerpCal,5,TRUE),rgPerpMons,2,TRUE)),1,2)</f>
        <v>9</v>
      </c>
      <c r="AV47" s="182">
        <f ca="1">OFFSET(INDIRECT(VLOOKUP(VLOOKUP(clFiscalYear,rgPerpCal,5,TRUE),rgPerpMons,2,TRUE)),1,3)</f>
        <v>10</v>
      </c>
      <c r="AW47" s="182">
        <f ca="1">OFFSET(INDIRECT(VLOOKUP(VLOOKUP(clFiscalYear,rgPerpCal,5,TRUE),rgPerpMons,2,TRUE)),1,4)</f>
        <v>11</v>
      </c>
      <c r="AX47" s="182">
        <f ca="1">OFFSET(INDIRECT(VLOOKUP(VLOOKUP(clFiscalYear,rgPerpCal,5,TRUE),rgPerpMons,2,TRUE)),1,5)</f>
        <v>12</v>
      </c>
      <c r="AY47" s="182">
        <f ca="1">OFFSET(INDIRECT(VLOOKUP(VLOOKUP(clFiscalYear,rgPerpCal,5,TRUE),rgPerpMons,2,TRUE)),1,6)</f>
        <v>13</v>
      </c>
      <c r="AZ47" s="181">
        <f t="shared" si="44"/>
        <v>45389</v>
      </c>
      <c r="BA47" s="181">
        <f t="shared" si="44"/>
        <v>45390</v>
      </c>
      <c r="BB47" s="181">
        <f t="shared" si="44"/>
        <v>45391</v>
      </c>
      <c r="BC47" s="181">
        <f t="shared" si="44"/>
        <v>45392</v>
      </c>
      <c r="BD47" s="181">
        <f t="shared" si="44"/>
        <v>45393</v>
      </c>
      <c r="BE47" s="181">
        <f t="shared" si="44"/>
        <v>45394</v>
      </c>
      <c r="BF47" s="181">
        <f t="shared" si="44"/>
        <v>45395</v>
      </c>
      <c r="BG47" s="182" t="str">
        <f t="shared" si="23"/>
        <v>.7</v>
      </c>
      <c r="BH47" s="182" t="str">
        <f t="shared" si="24"/>
        <v>.8</v>
      </c>
      <c r="BI47" s="182" t="str">
        <f t="shared" si="8"/>
        <v>.9</v>
      </c>
      <c r="BJ47" s="182" t="str">
        <f t="shared" si="9"/>
        <v>.10</v>
      </c>
      <c r="BK47" s="182" t="str">
        <f t="shared" si="10"/>
        <v>.11</v>
      </c>
      <c r="BL47" s="182" t="str">
        <f t="shared" si="11"/>
        <v>.12</v>
      </c>
      <c r="BM47" s="182" t="str">
        <f t="shared" si="12"/>
        <v>.13</v>
      </c>
      <c r="BN47" s="218" t="str">
        <f t="shared" si="25"/>
        <v>.7</v>
      </c>
      <c r="BO47" s="218" t="str">
        <f t="shared" si="26"/>
        <v>.8</v>
      </c>
      <c r="BP47" s="218" t="str">
        <f t="shared" si="13"/>
        <v>.9</v>
      </c>
      <c r="BQ47" s="218" t="str">
        <f t="shared" si="14"/>
        <v>.10</v>
      </c>
      <c r="BR47" s="218" t="str">
        <f t="shared" si="15"/>
        <v>.11</v>
      </c>
      <c r="BS47" s="218" t="str">
        <f t="shared" si="16"/>
        <v>.12</v>
      </c>
      <c r="BT47" s="218" t="str">
        <f t="shared" si="17"/>
        <v>.13</v>
      </c>
      <c r="BU47" s="218" t="str">
        <f t="shared" si="27"/>
        <v>.7</v>
      </c>
      <c r="BV47" s="218" t="str">
        <f t="shared" si="28"/>
        <v>.8</v>
      </c>
      <c r="BW47" s="218" t="str">
        <f t="shared" si="18"/>
        <v>.9</v>
      </c>
      <c r="BX47" s="218" t="str">
        <f t="shared" si="19"/>
        <v>.10</v>
      </c>
      <c r="BY47" s="218" t="str">
        <f t="shared" si="20"/>
        <v>.11</v>
      </c>
      <c r="BZ47" s="218" t="str">
        <f t="shared" si="21"/>
        <v>.12</v>
      </c>
      <c r="CA47" s="218" t="str">
        <f t="shared" si="22"/>
        <v>.13</v>
      </c>
    </row>
    <row r="48" spans="6:79" ht="12.75">
      <c r="F48" s="256" t="b">
        <v>1</v>
      </c>
      <c r="J48" s="182">
        <f t="shared" si="35"/>
        <v>14</v>
      </c>
      <c r="K48" s="182">
        <f t="shared" si="36"/>
        <v>15</v>
      </c>
      <c r="L48" s="182">
        <f t="shared" si="37"/>
        <v>16</v>
      </c>
      <c r="M48" s="182">
        <f t="shared" si="38"/>
        <v>17</v>
      </c>
      <c r="N48" s="182">
        <f t="shared" si="39"/>
        <v>18</v>
      </c>
      <c r="O48" s="182">
        <f t="shared" si="40"/>
        <v>19</v>
      </c>
      <c r="P48" s="182">
        <f t="shared" si="41"/>
        <v>20</v>
      </c>
      <c r="S48" s="194">
        <v>2010</v>
      </c>
      <c r="T48" s="194">
        <v>6</v>
      </c>
      <c r="U48" s="194">
        <v>16</v>
      </c>
      <c r="V48" s="194">
        <v>2</v>
      </c>
      <c r="W48" s="194">
        <v>12</v>
      </c>
      <c r="X48" s="194">
        <v>7</v>
      </c>
      <c r="Y48" s="194">
        <v>10</v>
      </c>
      <c r="Z48" s="319">
        <v>4</v>
      </c>
      <c r="AA48" s="319">
        <v>7</v>
      </c>
      <c r="AB48" s="319">
        <v>10</v>
      </c>
      <c r="AC48" s="319">
        <v>5</v>
      </c>
      <c r="AD48" s="319">
        <v>8</v>
      </c>
      <c r="AE48" s="319">
        <v>3</v>
      </c>
      <c r="AG48" s="194">
        <v>11</v>
      </c>
      <c r="AH48" s="204" t="s">
        <v>193</v>
      </c>
      <c r="AS48" s="182">
        <f ca="1">OFFSET(INDIRECT(VLOOKUP(VLOOKUP(clFiscalYear,rgPerpCal,5,TRUE),rgPerpMons,2,TRUE)),2,0)</f>
        <v>14</v>
      </c>
      <c r="AT48" s="182">
        <f ca="1">OFFSET(INDIRECT(VLOOKUP(VLOOKUP(clFiscalYear,rgPerpCal,5,TRUE),rgPerpMons,2,TRUE)),2,1)</f>
        <v>15</v>
      </c>
      <c r="AU48" s="182">
        <f ca="1">OFFSET(INDIRECT(VLOOKUP(VLOOKUP(clFiscalYear,rgPerpCal,5,TRUE),rgPerpMons,2,TRUE)),2,2)</f>
        <v>16</v>
      </c>
      <c r="AV48" s="182">
        <f ca="1">OFFSET(INDIRECT(VLOOKUP(VLOOKUP(clFiscalYear,rgPerpCal,5,TRUE),rgPerpMons,2,TRUE)),2,3)</f>
        <v>17</v>
      </c>
      <c r="AW48" s="182">
        <f ca="1">OFFSET(INDIRECT(VLOOKUP(VLOOKUP(clFiscalYear,rgPerpCal,5,TRUE),rgPerpMons,2,TRUE)),2,4)</f>
        <v>18</v>
      </c>
      <c r="AX48" s="182">
        <f ca="1">OFFSET(INDIRECT(VLOOKUP(VLOOKUP(clFiscalYear,rgPerpCal,5,TRUE),rgPerpMons,2,TRUE)),2,5)</f>
        <v>19</v>
      </c>
      <c r="AY48" s="182">
        <f ca="1">OFFSET(INDIRECT(VLOOKUP(VLOOKUP(clFiscalYear,rgPerpCal,5,TRUE),rgPerpMons,2,TRUE)),2,6)</f>
        <v>20</v>
      </c>
      <c r="AZ48" s="181">
        <f t="shared" si="44"/>
        <v>45396</v>
      </c>
      <c r="BA48" s="181">
        <f t="shared" si="44"/>
        <v>45397</v>
      </c>
      <c r="BB48" s="181">
        <f t="shared" si="44"/>
        <v>45398</v>
      </c>
      <c r="BC48" s="181">
        <f t="shared" si="44"/>
        <v>45399</v>
      </c>
      <c r="BD48" s="181">
        <f t="shared" si="44"/>
        <v>45400</v>
      </c>
      <c r="BE48" s="181">
        <f t="shared" si="44"/>
        <v>45401</v>
      </c>
      <c r="BF48" s="181">
        <f t="shared" si="44"/>
        <v>45402</v>
      </c>
      <c r="BG48" s="182" t="str">
        <f t="shared" si="23"/>
        <v>.14</v>
      </c>
      <c r="BH48" s="182" t="str">
        <f t="shared" si="24"/>
        <v>.15</v>
      </c>
      <c r="BI48" s="182" t="str">
        <f t="shared" si="8"/>
        <v>.16</v>
      </c>
      <c r="BJ48" s="182" t="str">
        <f t="shared" si="9"/>
        <v>.17</v>
      </c>
      <c r="BK48" s="182" t="str">
        <f t="shared" si="10"/>
        <v>.18</v>
      </c>
      <c r="BL48" s="182" t="str">
        <f t="shared" si="11"/>
        <v>.19</v>
      </c>
      <c r="BM48" s="182" t="str">
        <f t="shared" si="12"/>
        <v>.20</v>
      </c>
      <c r="BN48" s="218" t="str">
        <f t="shared" si="25"/>
        <v>.14</v>
      </c>
      <c r="BO48" s="218" t="str">
        <f t="shared" si="26"/>
        <v>.15</v>
      </c>
      <c r="BP48" s="218" t="str">
        <f t="shared" si="13"/>
        <v>.16</v>
      </c>
      <c r="BQ48" s="218" t="str">
        <f t="shared" si="14"/>
        <v>.17</v>
      </c>
      <c r="BR48" s="218" t="str">
        <f t="shared" si="15"/>
        <v>.18</v>
      </c>
      <c r="BS48" s="218" t="str">
        <f t="shared" si="16"/>
        <v>.19</v>
      </c>
      <c r="BT48" s="218" t="str">
        <f t="shared" si="17"/>
        <v>.20</v>
      </c>
      <c r="BU48" s="218" t="str">
        <f t="shared" si="27"/>
        <v>.14</v>
      </c>
      <c r="BV48" s="218" t="str">
        <f t="shared" si="28"/>
        <v>.15</v>
      </c>
      <c r="BW48" s="218" t="str">
        <f t="shared" si="18"/>
        <v>.16</v>
      </c>
      <c r="BX48" s="218" t="str">
        <f t="shared" si="19"/>
        <v>.17</v>
      </c>
      <c r="BY48" s="218" t="str">
        <f t="shared" si="20"/>
        <v>.18</v>
      </c>
      <c r="BZ48" s="218" t="str">
        <f t="shared" si="21"/>
        <v>.19</v>
      </c>
      <c r="CA48" s="218" t="str">
        <f t="shared" si="22"/>
        <v>.20</v>
      </c>
    </row>
    <row r="49" spans="6:79" ht="12.75">
      <c r="F49" s="256" t="b">
        <v>0</v>
      </c>
      <c r="J49" s="182">
        <f t="shared" si="35"/>
        <v>21</v>
      </c>
      <c r="K49" s="182">
        <f t="shared" si="36"/>
        <v>22</v>
      </c>
      <c r="L49" s="182">
        <f t="shared" si="37"/>
        <v>23</v>
      </c>
      <c r="M49" s="182">
        <f t="shared" si="38"/>
        <v>24</v>
      </c>
      <c r="N49" s="182">
        <f t="shared" si="39"/>
        <v>25</v>
      </c>
      <c r="O49" s="182">
        <f t="shared" si="40"/>
        <v>26</v>
      </c>
      <c r="P49" s="182">
        <f t="shared" si="41"/>
        <v>27</v>
      </c>
      <c r="S49" s="321">
        <v>2011</v>
      </c>
      <c r="T49" s="321">
        <v>7</v>
      </c>
      <c r="U49" s="321">
        <v>17</v>
      </c>
      <c r="V49" s="321">
        <v>3</v>
      </c>
      <c r="W49" s="321">
        <v>13</v>
      </c>
      <c r="X49" s="321">
        <v>1</v>
      </c>
      <c r="Y49" s="321">
        <v>11</v>
      </c>
      <c r="Z49" s="194">
        <v>5</v>
      </c>
      <c r="AA49" s="194">
        <v>1</v>
      </c>
      <c r="AB49" s="194">
        <v>11</v>
      </c>
      <c r="AC49" s="194">
        <v>6</v>
      </c>
      <c r="AD49" s="194">
        <v>9</v>
      </c>
      <c r="AE49" s="194">
        <v>4</v>
      </c>
      <c r="AG49" s="194">
        <v>12</v>
      </c>
      <c r="AH49" s="204" t="s">
        <v>194</v>
      </c>
      <c r="AS49" s="182">
        <f ca="1">OFFSET(INDIRECT(VLOOKUP(VLOOKUP(clFiscalYear,rgPerpCal,5,TRUE),rgPerpMons,2,TRUE)),3,0)</f>
        <v>21</v>
      </c>
      <c r="AT49" s="182">
        <f ca="1">OFFSET(INDIRECT(VLOOKUP(VLOOKUP(clFiscalYear,rgPerpCal,5,TRUE),rgPerpMons,2,TRUE)),3,1)</f>
        <v>22</v>
      </c>
      <c r="AU49" s="182">
        <f ca="1">OFFSET(INDIRECT(VLOOKUP(VLOOKUP(clFiscalYear,rgPerpCal,5,TRUE),rgPerpMons,2,TRUE)),3,2)</f>
        <v>23</v>
      </c>
      <c r="AV49" s="182">
        <f ca="1">OFFSET(INDIRECT(VLOOKUP(VLOOKUP(clFiscalYear,rgPerpCal,5,TRUE),rgPerpMons,2,TRUE)),3,3)</f>
        <v>24</v>
      </c>
      <c r="AW49" s="182">
        <f ca="1">OFFSET(INDIRECT(VLOOKUP(VLOOKUP(clFiscalYear,rgPerpCal,5,TRUE),rgPerpMons,2,TRUE)),3,4)</f>
        <v>25</v>
      </c>
      <c r="AX49" s="182">
        <f ca="1">OFFSET(INDIRECT(VLOOKUP(VLOOKUP(clFiscalYear,rgPerpCal,5,TRUE),rgPerpMons,2,TRUE)),3,5)</f>
        <v>26</v>
      </c>
      <c r="AY49" s="182">
        <f ca="1">OFFSET(INDIRECT(VLOOKUP(VLOOKUP(clFiscalYear,rgPerpCal,5,TRUE),rgPerpMons,2,TRUE)),3,6)</f>
        <v>27</v>
      </c>
      <c r="AZ49" s="181">
        <f t="shared" si="44"/>
        <v>45403</v>
      </c>
      <c r="BA49" s="181">
        <f t="shared" si="44"/>
        <v>45404</v>
      </c>
      <c r="BB49" s="181">
        <f t="shared" si="44"/>
        <v>45405</v>
      </c>
      <c r="BC49" s="181">
        <f t="shared" si="44"/>
        <v>45406</v>
      </c>
      <c r="BD49" s="181">
        <f t="shared" si="44"/>
        <v>45407</v>
      </c>
      <c r="BE49" s="181">
        <f t="shared" si="44"/>
        <v>45408</v>
      </c>
      <c r="BF49" s="181">
        <f t="shared" si="44"/>
        <v>45409</v>
      </c>
      <c r="BG49" s="182" t="str">
        <f t="shared" si="23"/>
        <v>.21</v>
      </c>
      <c r="BH49" s="182" t="str">
        <f t="shared" si="24"/>
        <v>.22</v>
      </c>
      <c r="BI49" s="182" t="str">
        <f t="shared" si="8"/>
        <v>.23</v>
      </c>
      <c r="BJ49" s="182" t="str">
        <f t="shared" si="9"/>
        <v>.24</v>
      </c>
      <c r="BK49" s="182" t="str">
        <f t="shared" si="10"/>
        <v>.25</v>
      </c>
      <c r="BL49" s="182" t="str">
        <f t="shared" si="11"/>
        <v>.26</v>
      </c>
      <c r="BM49" s="182" t="str">
        <f t="shared" si="12"/>
        <v>.27</v>
      </c>
      <c r="BN49" s="218" t="str">
        <f t="shared" si="25"/>
        <v>.21</v>
      </c>
      <c r="BO49" s="218" t="str">
        <f t="shared" si="26"/>
        <v>.22</v>
      </c>
      <c r="BP49" s="218" t="str">
        <f t="shared" si="13"/>
        <v>.23</v>
      </c>
      <c r="BQ49" s="218" t="str">
        <f t="shared" si="14"/>
        <v>.24</v>
      </c>
      <c r="BR49" s="218" t="str">
        <f t="shared" si="15"/>
        <v>.25</v>
      </c>
      <c r="BS49" s="218" t="str">
        <f t="shared" si="16"/>
        <v>.26</v>
      </c>
      <c r="BT49" s="218" t="str">
        <f t="shared" si="17"/>
        <v>.27</v>
      </c>
      <c r="BU49" s="218" t="str">
        <f t="shared" si="27"/>
        <v>.21</v>
      </c>
      <c r="BV49" s="218" t="str">
        <f t="shared" si="28"/>
        <v>.22</v>
      </c>
      <c r="BW49" s="218" t="str">
        <f t="shared" si="18"/>
        <v>.23</v>
      </c>
      <c r="BX49" s="218" t="str">
        <f t="shared" si="19"/>
        <v>.24</v>
      </c>
      <c r="BY49" s="218" t="str">
        <f t="shared" si="20"/>
        <v>.25</v>
      </c>
      <c r="BZ49" s="218" t="str">
        <f t="shared" si="21"/>
        <v>.26</v>
      </c>
      <c r="CA49" s="218" t="str">
        <f t="shared" si="22"/>
        <v>.27</v>
      </c>
    </row>
    <row r="50" spans="6:79" ht="12.75">
      <c r="F50" s="256" t="b">
        <v>0</v>
      </c>
      <c r="J50" s="182">
        <f t="shared" si="35"/>
        <v>28</v>
      </c>
      <c r="K50" s="182">
        <f t="shared" si="36"/>
        <v>29</v>
      </c>
      <c r="L50" s="182">
        <f t="shared" si="37"/>
        <v>30</v>
      </c>
      <c r="M50" s="182">
        <f t="shared" si="38"/>
        <v>0</v>
      </c>
      <c r="N50" s="182">
        <f t="shared" si="39"/>
        <v>0</v>
      </c>
      <c r="O50" s="182">
        <f t="shared" si="40"/>
        <v>0</v>
      </c>
      <c r="P50" s="182">
        <f t="shared" si="41"/>
        <v>0</v>
      </c>
      <c r="R50" s="318"/>
      <c r="S50" s="322">
        <v>2012</v>
      </c>
      <c r="T50" s="322">
        <v>1</v>
      </c>
      <c r="U50" s="322">
        <v>25</v>
      </c>
      <c r="V50" s="322">
        <v>5</v>
      </c>
      <c r="W50" s="322">
        <v>8</v>
      </c>
      <c r="X50" s="322">
        <v>3</v>
      </c>
      <c r="Y50" s="322">
        <v>13</v>
      </c>
      <c r="Z50" s="321">
        <v>6</v>
      </c>
      <c r="AA50" s="321">
        <v>2</v>
      </c>
      <c r="AB50" s="321">
        <v>12</v>
      </c>
      <c r="AC50" s="321">
        <v>7</v>
      </c>
      <c r="AD50" s="321">
        <v>10</v>
      </c>
      <c r="AE50" s="321">
        <v>5</v>
      </c>
      <c r="AG50" s="194">
        <v>13</v>
      </c>
      <c r="AH50" s="204" t="s">
        <v>195</v>
      </c>
      <c r="AS50" s="182">
        <f ca="1">OFFSET(INDIRECT(VLOOKUP(VLOOKUP(clFiscalYear,rgPerpCal,5,TRUE),rgPerpMons,2,TRUE)),4,0)</f>
        <v>28</v>
      </c>
      <c r="AT50" s="182">
        <f ca="1">OFFSET(INDIRECT(VLOOKUP(VLOOKUP(clFiscalYear,rgPerpCal,5,TRUE),rgPerpMons,2,TRUE)),4,1)</f>
        <v>29</v>
      </c>
      <c r="AU50" s="182">
        <f ca="1">OFFSET(INDIRECT(VLOOKUP(VLOOKUP(clFiscalYear,rgPerpCal,5,TRUE),rgPerpMons,2,TRUE)),4,2)</f>
        <v>30</v>
      </c>
      <c r="AV50" s="182">
        <f ca="1">OFFSET(INDIRECT(VLOOKUP(VLOOKUP(clFiscalYear,rgPerpCal,5,TRUE),rgPerpMons,2,TRUE)),4,3)</f>
        <v>0</v>
      </c>
      <c r="AW50" s="182">
        <f ca="1">OFFSET(INDIRECT(VLOOKUP(VLOOKUP(clFiscalYear,rgPerpCal,5,TRUE),rgPerpMons,2,TRUE)),4,4)</f>
        <v>0</v>
      </c>
      <c r="AX50" s="182">
        <f ca="1">OFFSET(INDIRECT(VLOOKUP(VLOOKUP(clFiscalYear,rgPerpCal,5,TRUE),rgPerpMons,2,TRUE)),4,5)</f>
        <v>0</v>
      </c>
      <c r="AY50" s="182">
        <f ca="1">OFFSET(INDIRECT(VLOOKUP(VLOOKUP(clFiscalYear,rgPerpCal,5,TRUE),rgPerpMons,2,TRUE)),4,6)</f>
        <v>0</v>
      </c>
      <c r="AZ50" s="181">
        <f t="shared" si="44"/>
        <v>45410</v>
      </c>
      <c r="BA50" s="181">
        <f t="shared" si="44"/>
        <v>45411</v>
      </c>
      <c r="BB50" s="181">
        <f t="shared" si="44"/>
        <v>45412</v>
      </c>
      <c r="BC50" s="181">
        <f t="shared" si="44"/>
        <v>0</v>
      </c>
      <c r="BD50" s="181">
        <f t="shared" si="44"/>
        <v>0</v>
      </c>
      <c r="BE50" s="181">
        <f t="shared" si="44"/>
        <v>0</v>
      </c>
      <c r="BF50" s="181">
        <f t="shared" si="44"/>
        <v>0</v>
      </c>
      <c r="BG50" s="182" t="str">
        <f t="shared" si="23"/>
        <v>.28</v>
      </c>
      <c r="BH50" s="182" t="str">
        <f t="shared" si="24"/>
        <v>.29</v>
      </c>
      <c r="BI50" s="182" t="str">
        <f t="shared" si="8"/>
        <v>.30</v>
      </c>
      <c r="BJ50" s="182">
        <f t="shared" si="9"/>
        <v>0</v>
      </c>
      <c r="BK50" s="182">
        <f t="shared" si="10"/>
        <v>0</v>
      </c>
      <c r="BL50" s="182">
        <f t="shared" si="11"/>
        <v>0</v>
      </c>
      <c r="BM50" s="182">
        <f t="shared" si="12"/>
        <v>0</v>
      </c>
      <c r="BN50" s="218" t="str">
        <f t="shared" si="25"/>
        <v>.28</v>
      </c>
      <c r="BO50" s="218" t="str">
        <f t="shared" si="26"/>
        <v>.29</v>
      </c>
      <c r="BP50" s="218" t="str">
        <f t="shared" si="13"/>
        <v>.30</v>
      </c>
      <c r="BQ50" s="218">
        <f t="shared" si="14"/>
        <v>0</v>
      </c>
      <c r="BR50" s="218">
        <f t="shared" si="15"/>
        <v>0</v>
      </c>
      <c r="BS50" s="218">
        <f t="shared" si="16"/>
        <v>0</v>
      </c>
      <c r="BT50" s="218">
        <f t="shared" si="17"/>
        <v>0</v>
      </c>
      <c r="BU50" s="218" t="str">
        <f t="shared" si="27"/>
        <v>.28</v>
      </c>
      <c r="BV50" s="218" t="str">
        <f t="shared" si="28"/>
        <v>.29</v>
      </c>
      <c r="BW50" s="218" t="str">
        <f t="shared" si="18"/>
        <v>.30</v>
      </c>
      <c r="BX50" s="218">
        <f t="shared" si="19"/>
        <v>0</v>
      </c>
      <c r="BY50" s="218">
        <f t="shared" si="20"/>
        <v>0</v>
      </c>
      <c r="BZ50" s="218">
        <f t="shared" si="21"/>
        <v>0</v>
      </c>
      <c r="CA50" s="218">
        <f t="shared" si="22"/>
        <v>0</v>
      </c>
    </row>
    <row r="51" spans="6:79" ht="12.75">
      <c r="F51" s="256" t="b">
        <v>0</v>
      </c>
      <c r="J51" s="182">
        <f t="shared" si="35"/>
        <v>0</v>
      </c>
      <c r="K51" s="182">
        <f t="shared" si="36"/>
        <v>0</v>
      </c>
      <c r="L51" s="182">
        <f t="shared" si="37"/>
        <v>0</v>
      </c>
      <c r="M51" s="182">
        <f t="shared" si="38"/>
        <v>1</v>
      </c>
      <c r="N51" s="182">
        <f t="shared" si="39"/>
        <v>2</v>
      </c>
      <c r="O51" s="182">
        <f t="shared" si="40"/>
        <v>3</v>
      </c>
      <c r="P51" s="182">
        <f t="shared" si="41"/>
        <v>4</v>
      </c>
      <c r="R51" s="318"/>
      <c r="S51" s="317">
        <v>2013</v>
      </c>
      <c r="T51" s="317">
        <v>3</v>
      </c>
      <c r="U51" s="317">
        <v>20</v>
      </c>
      <c r="V51" s="317">
        <v>6</v>
      </c>
      <c r="W51" s="317">
        <v>9</v>
      </c>
      <c r="X51" s="317">
        <v>4</v>
      </c>
      <c r="Y51" s="317">
        <v>14</v>
      </c>
      <c r="Z51" s="322">
        <v>1</v>
      </c>
      <c r="AA51" s="322">
        <v>4</v>
      </c>
      <c r="AB51" s="322">
        <v>14</v>
      </c>
      <c r="AC51" s="322">
        <v>2</v>
      </c>
      <c r="AD51" s="322">
        <v>12</v>
      </c>
      <c r="AE51" s="322">
        <v>7</v>
      </c>
      <c r="AG51" s="194">
        <v>14</v>
      </c>
      <c r="AH51" s="204" t="s">
        <v>196</v>
      </c>
      <c r="AS51" s="182">
        <f ca="1">OFFSET(INDIRECT(VLOOKUP(VLOOKUP(clFiscalYear,rgPerpCal,6,TRUE),rgPerpMons,2,TRUE)),0,0)</f>
        <v>0</v>
      </c>
      <c r="AT51" s="182">
        <f ca="1">OFFSET(INDIRECT(VLOOKUP(VLOOKUP(clFiscalYear,rgPerpCal,6,TRUE),rgPerpMons,2,TRUE)),0,1)</f>
        <v>0</v>
      </c>
      <c r="AU51" s="182">
        <f ca="1">OFFSET(INDIRECT(VLOOKUP(VLOOKUP(clFiscalYear,rgPerpCal,6,TRUE),rgPerpMons,2,TRUE)),0,2)</f>
        <v>0</v>
      </c>
      <c r="AV51" s="182">
        <f ca="1">OFFSET(INDIRECT(VLOOKUP(VLOOKUP(clFiscalYear,rgPerpCal,6,TRUE),rgPerpMons,2,TRUE)),0,3)</f>
        <v>1</v>
      </c>
      <c r="AW51" s="182">
        <f ca="1">OFFSET(INDIRECT(VLOOKUP(VLOOKUP(clFiscalYear,rgPerpCal,6,TRUE),rgPerpMons,2,TRUE)),0,4)</f>
        <v>2</v>
      </c>
      <c r="AX51" s="182">
        <f ca="1">OFFSET(INDIRECT(VLOOKUP(VLOOKUP(clFiscalYear,rgPerpCal,6,TRUE),rgPerpMons,2,TRUE)),0,5)</f>
        <v>3</v>
      </c>
      <c r="AY51" s="182">
        <f ca="1">OFFSET(INDIRECT(VLOOKUP(VLOOKUP(clFiscalYear,rgPerpCal,6,TRUE),rgPerpMons,2,TRUE)),0,6)</f>
        <v>4</v>
      </c>
      <c r="AZ51" s="181">
        <f aca="true" t="shared" si="45" ref="AZ51:BF55">IF(AS51&lt;&gt;0,DATEVALUE(AS51&amp;" May "&amp;clFiscalYear),0)</f>
        <v>0</v>
      </c>
      <c r="BA51" s="181">
        <f t="shared" si="45"/>
        <v>0</v>
      </c>
      <c r="BB51" s="181">
        <f t="shared" si="45"/>
        <v>0</v>
      </c>
      <c r="BC51" s="181">
        <f t="shared" si="45"/>
        <v>45413</v>
      </c>
      <c r="BD51" s="181">
        <f t="shared" si="45"/>
        <v>45414</v>
      </c>
      <c r="BE51" s="181">
        <f t="shared" si="45"/>
        <v>45415</v>
      </c>
      <c r="BF51" s="181">
        <f t="shared" si="45"/>
        <v>45416</v>
      </c>
      <c r="BG51" s="182">
        <f t="shared" si="23"/>
        <v>0</v>
      </c>
      <c r="BH51" s="182">
        <f t="shared" si="24"/>
        <v>0</v>
      </c>
      <c r="BI51" s="182">
        <f t="shared" si="8"/>
        <v>0</v>
      </c>
      <c r="BJ51" s="182" t="str">
        <f t="shared" si="9"/>
        <v>.1</v>
      </c>
      <c r="BK51" s="182" t="str">
        <f t="shared" si="10"/>
        <v>.2</v>
      </c>
      <c r="BL51" s="182" t="str">
        <f t="shared" si="11"/>
        <v>.3</v>
      </c>
      <c r="BM51" s="182" t="str">
        <f t="shared" si="12"/>
        <v>.4</v>
      </c>
      <c r="BN51" s="218">
        <f t="shared" si="25"/>
        <v>0</v>
      </c>
      <c r="BO51" s="218">
        <f t="shared" si="26"/>
        <v>0</v>
      </c>
      <c r="BP51" s="218">
        <f t="shared" si="13"/>
        <v>0</v>
      </c>
      <c r="BQ51" s="218" t="str">
        <f t="shared" si="14"/>
        <v>.1</v>
      </c>
      <c r="BR51" s="218" t="str">
        <f t="shared" si="15"/>
        <v>.2</v>
      </c>
      <c r="BS51" s="218" t="str">
        <f t="shared" si="16"/>
        <v>.3</v>
      </c>
      <c r="BT51" s="218" t="str">
        <f t="shared" si="17"/>
        <v>.4</v>
      </c>
      <c r="BU51" s="218">
        <f t="shared" si="27"/>
        <v>0</v>
      </c>
      <c r="BV51" s="218">
        <f t="shared" si="28"/>
        <v>0</v>
      </c>
      <c r="BW51" s="218">
        <f t="shared" si="18"/>
        <v>0</v>
      </c>
      <c r="BX51" s="218" t="str">
        <f t="shared" si="19"/>
        <v>.1</v>
      </c>
      <c r="BY51" s="218" t="str">
        <f t="shared" si="20"/>
        <v>.2</v>
      </c>
      <c r="BZ51" s="218" t="str">
        <f t="shared" si="21"/>
        <v>.3</v>
      </c>
      <c r="CA51" s="218" t="str">
        <f t="shared" si="22"/>
        <v>.4</v>
      </c>
    </row>
    <row r="52" spans="6:79" ht="12.75">
      <c r="F52" s="256" t="b">
        <v>1</v>
      </c>
      <c r="J52" s="182">
        <f t="shared" si="35"/>
        <v>5</v>
      </c>
      <c r="K52" s="182">
        <f t="shared" si="36"/>
        <v>6</v>
      </c>
      <c r="L52" s="182">
        <f t="shared" si="37"/>
        <v>7</v>
      </c>
      <c r="M52" s="182">
        <f t="shared" si="38"/>
        <v>8</v>
      </c>
      <c r="N52" s="182">
        <f t="shared" si="39"/>
        <v>9</v>
      </c>
      <c r="O52" s="182">
        <f t="shared" si="40"/>
        <v>10</v>
      </c>
      <c r="P52" s="182">
        <f t="shared" si="41"/>
        <v>11</v>
      </c>
      <c r="R52" s="318"/>
      <c r="S52" s="321">
        <v>2014</v>
      </c>
      <c r="T52" s="321">
        <v>4</v>
      </c>
      <c r="U52" s="321">
        <v>21</v>
      </c>
      <c r="V52" s="321">
        <v>7</v>
      </c>
      <c r="W52" s="321">
        <v>10</v>
      </c>
      <c r="X52" s="321">
        <v>5</v>
      </c>
      <c r="Y52" s="321">
        <v>8</v>
      </c>
      <c r="Z52" s="317">
        <v>2</v>
      </c>
      <c r="AA52" s="317">
        <v>5</v>
      </c>
      <c r="AB52" s="317">
        <v>8</v>
      </c>
      <c r="AC52" s="317">
        <v>3</v>
      </c>
      <c r="AD52" s="317">
        <v>13</v>
      </c>
      <c r="AE52" s="317">
        <v>1</v>
      </c>
      <c r="AG52" s="194">
        <v>15</v>
      </c>
      <c r="AH52" s="204" t="s">
        <v>197</v>
      </c>
      <c r="AS52" s="182">
        <f ca="1">OFFSET(INDIRECT(VLOOKUP(VLOOKUP(clFiscalYear,rgPerpCal,6,TRUE),rgPerpMons,2,TRUE)),1,0)</f>
        <v>5</v>
      </c>
      <c r="AT52" s="182">
        <f ca="1">OFFSET(INDIRECT(VLOOKUP(VLOOKUP(clFiscalYear,rgPerpCal,6,TRUE),rgPerpMons,2,TRUE)),1,1)</f>
        <v>6</v>
      </c>
      <c r="AU52" s="182">
        <f ca="1">OFFSET(INDIRECT(VLOOKUP(VLOOKUP(clFiscalYear,rgPerpCal,6,TRUE),rgPerpMons,2,TRUE)),1,2)</f>
        <v>7</v>
      </c>
      <c r="AV52" s="182">
        <f ca="1">OFFSET(INDIRECT(VLOOKUP(VLOOKUP(clFiscalYear,rgPerpCal,6,TRUE),rgPerpMons,2,TRUE)),1,3)</f>
        <v>8</v>
      </c>
      <c r="AW52" s="182">
        <f ca="1">OFFSET(INDIRECT(VLOOKUP(VLOOKUP(clFiscalYear,rgPerpCal,6,TRUE),rgPerpMons,2,TRUE)),1,4)</f>
        <v>9</v>
      </c>
      <c r="AX52" s="182">
        <f ca="1">OFFSET(INDIRECT(VLOOKUP(VLOOKUP(clFiscalYear,rgPerpCal,6,TRUE),rgPerpMons,2,TRUE)),1,5)</f>
        <v>10</v>
      </c>
      <c r="AY52" s="182">
        <f ca="1">OFFSET(INDIRECT(VLOOKUP(VLOOKUP(clFiscalYear,rgPerpCal,6,TRUE),rgPerpMons,2,TRUE)),1,6)</f>
        <v>11</v>
      </c>
      <c r="AZ52" s="181">
        <f t="shared" si="45"/>
        <v>45417</v>
      </c>
      <c r="BA52" s="181">
        <f t="shared" si="45"/>
        <v>45418</v>
      </c>
      <c r="BB52" s="181">
        <f t="shared" si="45"/>
        <v>45419</v>
      </c>
      <c r="BC52" s="181">
        <f t="shared" si="45"/>
        <v>45420</v>
      </c>
      <c r="BD52" s="181">
        <f t="shared" si="45"/>
        <v>45421</v>
      </c>
      <c r="BE52" s="181">
        <f t="shared" si="45"/>
        <v>45422</v>
      </c>
      <c r="BF52" s="181">
        <f t="shared" si="45"/>
        <v>45423</v>
      </c>
      <c r="BG52" s="182" t="str">
        <f t="shared" si="23"/>
        <v>.5</v>
      </c>
      <c r="BH52" s="182" t="str">
        <f t="shared" si="24"/>
        <v>.6</v>
      </c>
      <c r="BI52" s="182" t="str">
        <f t="shared" si="8"/>
        <v>.7</v>
      </c>
      <c r="BJ52" s="182" t="str">
        <f t="shared" si="9"/>
        <v>.8</v>
      </c>
      <c r="BK52" s="182" t="str">
        <f t="shared" si="10"/>
        <v>.9</v>
      </c>
      <c r="BL52" s="182" t="str">
        <f t="shared" si="11"/>
        <v>.10</v>
      </c>
      <c r="BM52" s="182" t="str">
        <f t="shared" si="12"/>
        <v>.11</v>
      </c>
      <c r="BN52" s="218" t="str">
        <f t="shared" si="25"/>
        <v>.5</v>
      </c>
      <c r="BO52" s="218" t="str">
        <f t="shared" si="26"/>
        <v>.6</v>
      </c>
      <c r="BP52" s="218" t="str">
        <f t="shared" si="13"/>
        <v>.7</v>
      </c>
      <c r="BQ52" s="218" t="str">
        <f t="shared" si="14"/>
        <v>.8</v>
      </c>
      <c r="BR52" s="218" t="str">
        <f t="shared" si="15"/>
        <v>.9</v>
      </c>
      <c r="BS52" s="218" t="str">
        <f t="shared" si="16"/>
        <v>.10</v>
      </c>
      <c r="BT52" s="218" t="str">
        <f t="shared" si="17"/>
        <v>.11</v>
      </c>
      <c r="BU52" s="218" t="str">
        <f t="shared" si="27"/>
        <v>.5</v>
      </c>
      <c r="BV52" s="218" t="str">
        <f t="shared" si="28"/>
        <v>.6</v>
      </c>
      <c r="BW52" s="218" t="str">
        <f t="shared" si="18"/>
        <v>.7</v>
      </c>
      <c r="BX52" s="218" t="str">
        <f t="shared" si="19"/>
        <v>.8</v>
      </c>
      <c r="BY52" s="218" t="str">
        <f t="shared" si="20"/>
        <v>.9</v>
      </c>
      <c r="BZ52" s="218" t="str">
        <f t="shared" si="21"/>
        <v>.10</v>
      </c>
      <c r="CA52" s="218" t="str">
        <f t="shared" si="22"/>
        <v>.11</v>
      </c>
    </row>
    <row r="53" spans="10:79" ht="12.75">
      <c r="J53" s="182">
        <f t="shared" si="35"/>
        <v>12</v>
      </c>
      <c r="K53" s="182">
        <f t="shared" si="36"/>
        <v>13</v>
      </c>
      <c r="L53" s="182">
        <f t="shared" si="37"/>
        <v>14</v>
      </c>
      <c r="M53" s="182">
        <f t="shared" si="38"/>
        <v>15</v>
      </c>
      <c r="N53" s="182">
        <f t="shared" si="39"/>
        <v>16</v>
      </c>
      <c r="O53" s="182">
        <f t="shared" si="40"/>
        <v>17</v>
      </c>
      <c r="P53" s="182">
        <f t="shared" si="41"/>
        <v>18</v>
      </c>
      <c r="R53" s="318"/>
      <c r="S53" s="322">
        <v>2015</v>
      </c>
      <c r="T53" s="322">
        <v>5</v>
      </c>
      <c r="U53" s="322">
        <v>15</v>
      </c>
      <c r="V53" s="322">
        <v>1</v>
      </c>
      <c r="W53" s="322">
        <v>11</v>
      </c>
      <c r="X53" s="322">
        <v>6</v>
      </c>
      <c r="Y53" s="322">
        <v>9</v>
      </c>
      <c r="Z53" s="321">
        <v>3</v>
      </c>
      <c r="AA53" s="321">
        <v>6</v>
      </c>
      <c r="AB53" s="321">
        <v>9</v>
      </c>
      <c r="AC53" s="321">
        <v>4</v>
      </c>
      <c r="AD53" s="321">
        <v>14</v>
      </c>
      <c r="AE53" s="321">
        <v>2</v>
      </c>
      <c r="AG53" s="194">
        <v>16</v>
      </c>
      <c r="AH53" s="204" t="s">
        <v>198</v>
      </c>
      <c r="AS53" s="182">
        <f ca="1">OFFSET(INDIRECT(VLOOKUP(VLOOKUP(clFiscalYear,rgPerpCal,6,TRUE),rgPerpMons,2,TRUE)),2,0)</f>
        <v>12</v>
      </c>
      <c r="AT53" s="182">
        <f ca="1">OFFSET(INDIRECT(VLOOKUP(VLOOKUP(clFiscalYear,rgPerpCal,6,TRUE),rgPerpMons,2,TRUE)),2,1)</f>
        <v>13</v>
      </c>
      <c r="AU53" s="182">
        <f ca="1">OFFSET(INDIRECT(VLOOKUP(VLOOKUP(clFiscalYear,rgPerpCal,6,TRUE),rgPerpMons,2,TRUE)),2,2)</f>
        <v>14</v>
      </c>
      <c r="AV53" s="182">
        <f ca="1">OFFSET(INDIRECT(VLOOKUP(VLOOKUP(clFiscalYear,rgPerpCal,6,TRUE),rgPerpMons,2,TRUE)),2,3)</f>
        <v>15</v>
      </c>
      <c r="AW53" s="182">
        <f ca="1">OFFSET(INDIRECT(VLOOKUP(VLOOKUP(clFiscalYear,rgPerpCal,6,TRUE),rgPerpMons,2,TRUE)),2,4)</f>
        <v>16</v>
      </c>
      <c r="AX53" s="182">
        <f ca="1">OFFSET(INDIRECT(VLOOKUP(VLOOKUP(clFiscalYear,rgPerpCal,6,TRUE),rgPerpMons,2,TRUE)),2,5)</f>
        <v>17</v>
      </c>
      <c r="AY53" s="182">
        <f ca="1">OFFSET(INDIRECT(VLOOKUP(VLOOKUP(clFiscalYear,rgPerpCal,6,TRUE),rgPerpMons,2,TRUE)),2,6)</f>
        <v>18</v>
      </c>
      <c r="AZ53" s="181">
        <f t="shared" si="45"/>
        <v>45424</v>
      </c>
      <c r="BA53" s="181">
        <f t="shared" si="45"/>
        <v>45425</v>
      </c>
      <c r="BB53" s="181">
        <f t="shared" si="45"/>
        <v>45426</v>
      </c>
      <c r="BC53" s="181">
        <f t="shared" si="45"/>
        <v>45427</v>
      </c>
      <c r="BD53" s="181">
        <f t="shared" si="45"/>
        <v>45428</v>
      </c>
      <c r="BE53" s="181">
        <f t="shared" si="45"/>
        <v>45429</v>
      </c>
      <c r="BF53" s="181">
        <f t="shared" si="45"/>
        <v>45430</v>
      </c>
      <c r="BG53" s="182" t="str">
        <f t="shared" si="23"/>
        <v>.12</v>
      </c>
      <c r="BH53" s="182" t="str">
        <f t="shared" si="24"/>
        <v>.13</v>
      </c>
      <c r="BI53" s="182" t="str">
        <f t="shared" si="8"/>
        <v>.14</v>
      </c>
      <c r="BJ53" s="182" t="str">
        <f t="shared" si="9"/>
        <v>.15</v>
      </c>
      <c r="BK53" s="182" t="str">
        <f t="shared" si="10"/>
        <v>.16</v>
      </c>
      <c r="BL53" s="182" t="str">
        <f t="shared" si="11"/>
        <v>.17</v>
      </c>
      <c r="BM53" s="182" t="str">
        <f t="shared" si="12"/>
        <v>.18</v>
      </c>
      <c r="BN53" s="218" t="str">
        <f t="shared" si="25"/>
        <v>.12</v>
      </c>
      <c r="BO53" s="218" t="str">
        <f t="shared" si="26"/>
        <v>.13</v>
      </c>
      <c r="BP53" s="218" t="str">
        <f t="shared" si="13"/>
        <v>.14</v>
      </c>
      <c r="BQ53" s="218" t="str">
        <f t="shared" si="14"/>
        <v>.15</v>
      </c>
      <c r="BR53" s="218" t="str">
        <f t="shared" si="15"/>
        <v>.16</v>
      </c>
      <c r="BS53" s="218" t="str">
        <f t="shared" si="16"/>
        <v>.17</v>
      </c>
      <c r="BT53" s="218" t="str">
        <f t="shared" si="17"/>
        <v>.18</v>
      </c>
      <c r="BU53" s="218" t="str">
        <f t="shared" si="27"/>
        <v>.12</v>
      </c>
      <c r="BV53" s="218" t="str">
        <f t="shared" si="28"/>
        <v>.13</v>
      </c>
      <c r="BW53" s="218" t="str">
        <f t="shared" si="18"/>
        <v>.14</v>
      </c>
      <c r="BX53" s="218" t="str">
        <f t="shared" si="19"/>
        <v>.15</v>
      </c>
      <c r="BY53" s="218" t="str">
        <f t="shared" si="20"/>
        <v>.16</v>
      </c>
      <c r="BZ53" s="218" t="str">
        <f t="shared" si="21"/>
        <v>.17</v>
      </c>
      <c r="CA53" s="218" t="str">
        <f t="shared" si="22"/>
        <v>.18</v>
      </c>
    </row>
    <row r="54" spans="10:79" ht="12.75">
      <c r="J54" s="182">
        <f t="shared" si="35"/>
        <v>19</v>
      </c>
      <c r="K54" s="182">
        <f t="shared" si="36"/>
        <v>20</v>
      </c>
      <c r="L54" s="182">
        <f t="shared" si="37"/>
        <v>21</v>
      </c>
      <c r="M54" s="182">
        <f t="shared" si="38"/>
        <v>22</v>
      </c>
      <c r="N54" s="182">
        <f t="shared" si="39"/>
        <v>23</v>
      </c>
      <c r="O54" s="182">
        <f t="shared" si="40"/>
        <v>24</v>
      </c>
      <c r="P54" s="182">
        <f t="shared" si="41"/>
        <v>25</v>
      </c>
      <c r="R54" s="318"/>
      <c r="S54" s="317">
        <v>2016</v>
      </c>
      <c r="T54" s="317">
        <v>6</v>
      </c>
      <c r="U54" s="317">
        <v>23</v>
      </c>
      <c r="V54" s="317">
        <v>3</v>
      </c>
      <c r="W54" s="317">
        <v>13</v>
      </c>
      <c r="X54" s="317">
        <v>1</v>
      </c>
      <c r="Y54" s="317">
        <v>11</v>
      </c>
      <c r="Z54" s="322">
        <v>4</v>
      </c>
      <c r="AA54" s="322">
        <v>7</v>
      </c>
      <c r="AB54" s="322">
        <v>10</v>
      </c>
      <c r="AC54" s="322">
        <v>5</v>
      </c>
      <c r="AD54" s="322">
        <v>8</v>
      </c>
      <c r="AE54" s="322">
        <v>3</v>
      </c>
      <c r="AG54" s="194">
        <v>17</v>
      </c>
      <c r="AH54" s="204" t="s">
        <v>199</v>
      </c>
      <c r="AS54" s="182">
        <f ca="1">OFFSET(INDIRECT(VLOOKUP(VLOOKUP(clFiscalYear,rgPerpCal,6,TRUE),rgPerpMons,2,TRUE)),3,0)</f>
        <v>19</v>
      </c>
      <c r="AT54" s="182">
        <f ca="1">OFFSET(INDIRECT(VLOOKUP(VLOOKUP(clFiscalYear,rgPerpCal,6,TRUE),rgPerpMons,2,TRUE)),3,1)</f>
        <v>20</v>
      </c>
      <c r="AU54" s="182">
        <f ca="1">OFFSET(INDIRECT(VLOOKUP(VLOOKUP(clFiscalYear,rgPerpCal,6,TRUE),rgPerpMons,2,TRUE)),3,2)</f>
        <v>21</v>
      </c>
      <c r="AV54" s="182">
        <f ca="1">OFFSET(INDIRECT(VLOOKUP(VLOOKUP(clFiscalYear,rgPerpCal,6,TRUE),rgPerpMons,2,TRUE)),3,3)</f>
        <v>22</v>
      </c>
      <c r="AW54" s="182">
        <f ca="1">OFFSET(INDIRECT(VLOOKUP(VLOOKUP(clFiscalYear,rgPerpCal,6,TRUE),rgPerpMons,2,TRUE)),3,4)</f>
        <v>23</v>
      </c>
      <c r="AX54" s="182">
        <f ca="1">OFFSET(INDIRECT(VLOOKUP(VLOOKUP(clFiscalYear,rgPerpCal,6,TRUE),rgPerpMons,2,TRUE)),3,5)</f>
        <v>24</v>
      </c>
      <c r="AY54" s="182">
        <f ca="1">OFFSET(INDIRECT(VLOOKUP(VLOOKUP(clFiscalYear,rgPerpCal,6,TRUE),rgPerpMons,2,TRUE)),3,6)</f>
        <v>25</v>
      </c>
      <c r="AZ54" s="181">
        <f t="shared" si="45"/>
        <v>45431</v>
      </c>
      <c r="BA54" s="181">
        <f t="shared" si="45"/>
        <v>45432</v>
      </c>
      <c r="BB54" s="181">
        <f t="shared" si="45"/>
        <v>45433</v>
      </c>
      <c r="BC54" s="181">
        <f t="shared" si="45"/>
        <v>45434</v>
      </c>
      <c r="BD54" s="181">
        <f t="shared" si="45"/>
        <v>45435</v>
      </c>
      <c r="BE54" s="181">
        <f t="shared" si="45"/>
        <v>45436</v>
      </c>
      <c r="BF54" s="181">
        <f t="shared" si="45"/>
        <v>45437</v>
      </c>
      <c r="BG54" s="182" t="str">
        <f t="shared" si="23"/>
        <v>.19</v>
      </c>
      <c r="BH54" s="182" t="str">
        <f t="shared" si="24"/>
        <v>.20</v>
      </c>
      <c r="BI54" s="182" t="str">
        <f t="shared" si="8"/>
        <v>.21</v>
      </c>
      <c r="BJ54" s="182" t="str">
        <f t="shared" si="9"/>
        <v>.22</v>
      </c>
      <c r="BK54" s="182" t="str">
        <f t="shared" si="10"/>
        <v>.23</v>
      </c>
      <c r="BL54" s="182" t="str">
        <f t="shared" si="11"/>
        <v>.24</v>
      </c>
      <c r="BM54" s="182" t="str">
        <f t="shared" si="12"/>
        <v>.25</v>
      </c>
      <c r="BN54" s="218" t="str">
        <f t="shared" si="25"/>
        <v>.19</v>
      </c>
      <c r="BO54" s="218" t="str">
        <f t="shared" si="26"/>
        <v>.20</v>
      </c>
      <c r="BP54" s="218" t="str">
        <f t="shared" si="13"/>
        <v>.21</v>
      </c>
      <c r="BQ54" s="218" t="str">
        <f t="shared" si="14"/>
        <v>.22</v>
      </c>
      <c r="BR54" s="218" t="str">
        <f t="shared" si="15"/>
        <v>.23</v>
      </c>
      <c r="BS54" s="218" t="str">
        <f t="shared" si="16"/>
        <v>.24</v>
      </c>
      <c r="BT54" s="218" t="str">
        <f t="shared" si="17"/>
        <v>.25</v>
      </c>
      <c r="BU54" s="218" t="str">
        <f t="shared" si="27"/>
        <v>.19</v>
      </c>
      <c r="BV54" s="218" t="str">
        <f t="shared" si="28"/>
        <v>.20</v>
      </c>
      <c r="BW54" s="218" t="str">
        <f t="shared" si="18"/>
        <v>.21</v>
      </c>
      <c r="BX54" s="218" t="str">
        <f t="shared" si="19"/>
        <v>.22</v>
      </c>
      <c r="BY54" s="218" t="str">
        <f t="shared" si="20"/>
        <v>.23</v>
      </c>
      <c r="BZ54" s="218" t="str">
        <f t="shared" si="21"/>
        <v>.24</v>
      </c>
      <c r="CA54" s="218" t="str">
        <f t="shared" si="22"/>
        <v>.25</v>
      </c>
    </row>
    <row r="55" spans="10:79" ht="12.75">
      <c r="J55" s="182">
        <f t="shared" si="35"/>
        <v>26</v>
      </c>
      <c r="K55" s="182">
        <f t="shared" si="36"/>
        <v>27</v>
      </c>
      <c r="L55" s="182">
        <f t="shared" si="37"/>
        <v>28</v>
      </c>
      <c r="M55" s="182">
        <f t="shared" si="38"/>
        <v>29</v>
      </c>
      <c r="N55" s="182">
        <f t="shared" si="39"/>
        <v>30</v>
      </c>
      <c r="O55" s="182">
        <f t="shared" si="40"/>
        <v>31</v>
      </c>
      <c r="P55" s="182">
        <f t="shared" si="41"/>
        <v>0</v>
      </c>
      <c r="R55" s="318"/>
      <c r="S55" s="321">
        <v>2017</v>
      </c>
      <c r="T55" s="321">
        <v>1</v>
      </c>
      <c r="U55" s="321">
        <v>18</v>
      </c>
      <c r="V55" s="321">
        <v>4</v>
      </c>
      <c r="W55" s="321">
        <v>14</v>
      </c>
      <c r="X55" s="321">
        <v>2</v>
      </c>
      <c r="Y55" s="321">
        <v>12</v>
      </c>
      <c r="Z55" s="317">
        <v>6</v>
      </c>
      <c r="AA55" s="317">
        <v>2</v>
      </c>
      <c r="AB55" s="317">
        <v>12</v>
      </c>
      <c r="AC55" s="317">
        <v>7</v>
      </c>
      <c r="AD55" s="317">
        <v>10</v>
      </c>
      <c r="AE55" s="317">
        <v>5</v>
      </c>
      <c r="AG55" s="194">
        <v>18</v>
      </c>
      <c r="AH55" s="204" t="s">
        <v>200</v>
      </c>
      <c r="AS55" s="182">
        <f ca="1">OFFSET(INDIRECT(VLOOKUP(VLOOKUP(clFiscalYear,rgPerpCal,6,TRUE),rgPerpMons,2,TRUE)),4,0)</f>
        <v>26</v>
      </c>
      <c r="AT55" s="182">
        <f ca="1">OFFSET(INDIRECT(VLOOKUP(VLOOKUP(clFiscalYear,rgPerpCal,6,TRUE),rgPerpMons,2,TRUE)),4,1)</f>
        <v>27</v>
      </c>
      <c r="AU55" s="182">
        <f ca="1">OFFSET(INDIRECT(VLOOKUP(VLOOKUP(clFiscalYear,rgPerpCal,6,TRUE),rgPerpMons,2,TRUE)),4,2)</f>
        <v>28</v>
      </c>
      <c r="AV55" s="182">
        <f ca="1">OFFSET(INDIRECT(VLOOKUP(VLOOKUP(clFiscalYear,rgPerpCal,6,TRUE),rgPerpMons,2,TRUE)),4,3)</f>
        <v>29</v>
      </c>
      <c r="AW55" s="182">
        <f ca="1">OFFSET(INDIRECT(VLOOKUP(VLOOKUP(clFiscalYear,rgPerpCal,6,TRUE),rgPerpMons,2,TRUE)),4,4)</f>
        <v>30</v>
      </c>
      <c r="AX55" s="182">
        <f ca="1">OFFSET(INDIRECT(VLOOKUP(VLOOKUP(clFiscalYear,rgPerpCal,6,TRUE),rgPerpMons,2,TRUE)),4,5)</f>
        <v>31</v>
      </c>
      <c r="AY55" s="182">
        <f ca="1">OFFSET(INDIRECT(VLOOKUP(VLOOKUP(clFiscalYear,rgPerpCal,6,TRUE),rgPerpMons,2,TRUE)),4,6)</f>
        <v>0</v>
      </c>
      <c r="AZ55" s="181">
        <f t="shared" si="45"/>
        <v>45438</v>
      </c>
      <c r="BA55" s="181">
        <f t="shared" si="45"/>
        <v>45439</v>
      </c>
      <c r="BB55" s="181">
        <f t="shared" si="45"/>
        <v>45440</v>
      </c>
      <c r="BC55" s="181">
        <f t="shared" si="45"/>
        <v>45441</v>
      </c>
      <c r="BD55" s="181">
        <f t="shared" si="45"/>
        <v>45442</v>
      </c>
      <c r="BE55" s="181">
        <f t="shared" si="45"/>
        <v>45443</v>
      </c>
      <c r="BF55" s="181">
        <f t="shared" si="45"/>
        <v>0</v>
      </c>
      <c r="BG55" s="182" t="str">
        <f t="shared" si="23"/>
        <v>.26</v>
      </c>
      <c r="BH55" s="182" t="str">
        <f t="shared" si="24"/>
        <v>.27</v>
      </c>
      <c r="BI55" s="182" t="str">
        <f t="shared" si="8"/>
        <v>.28</v>
      </c>
      <c r="BJ55" s="182" t="str">
        <f t="shared" si="9"/>
        <v>.29</v>
      </c>
      <c r="BK55" s="182" t="str">
        <f t="shared" si="10"/>
        <v>.30</v>
      </c>
      <c r="BL55" s="182" t="str">
        <f t="shared" si="11"/>
        <v>.31</v>
      </c>
      <c r="BM55" s="182">
        <f t="shared" si="12"/>
        <v>0</v>
      </c>
      <c r="BN55" s="218" t="str">
        <f t="shared" si="25"/>
        <v>.26</v>
      </c>
      <c r="BO55" s="218" t="str">
        <f t="shared" si="26"/>
        <v>.27</v>
      </c>
      <c r="BP55" s="218" t="str">
        <f t="shared" si="13"/>
        <v>.28</v>
      </c>
      <c r="BQ55" s="218" t="str">
        <f t="shared" si="14"/>
        <v>.29</v>
      </c>
      <c r="BR55" s="218" t="str">
        <f t="shared" si="15"/>
        <v>.30</v>
      </c>
      <c r="BS55" s="218" t="str">
        <f t="shared" si="16"/>
        <v>.31</v>
      </c>
      <c r="BT55" s="218">
        <f t="shared" si="17"/>
        <v>0</v>
      </c>
      <c r="BU55" s="218" t="str">
        <f t="shared" si="27"/>
        <v>.26</v>
      </c>
      <c r="BV55" s="218" t="str">
        <f t="shared" si="28"/>
        <v>.27</v>
      </c>
      <c r="BW55" s="218" t="str">
        <f t="shared" si="18"/>
        <v>.28</v>
      </c>
      <c r="BX55" s="218" t="str">
        <f t="shared" si="19"/>
        <v>.29</v>
      </c>
      <c r="BY55" s="218" t="str">
        <f t="shared" si="20"/>
        <v>.30</v>
      </c>
      <c r="BZ55" s="218" t="str">
        <f t="shared" si="21"/>
        <v>.31</v>
      </c>
      <c r="CA55" s="218">
        <f t="shared" si="22"/>
        <v>0</v>
      </c>
    </row>
    <row r="56" spans="10:79" ht="12.75">
      <c r="J56" s="182">
        <f t="shared" si="35"/>
        <v>30</v>
      </c>
      <c r="K56" s="182">
        <f t="shared" si="36"/>
        <v>0</v>
      </c>
      <c r="L56" s="182">
        <f t="shared" si="37"/>
        <v>0</v>
      </c>
      <c r="M56" s="182">
        <f t="shared" si="38"/>
        <v>0</v>
      </c>
      <c r="N56" s="182">
        <f t="shared" si="39"/>
        <v>0</v>
      </c>
      <c r="O56" s="182">
        <f t="shared" si="40"/>
        <v>0</v>
      </c>
      <c r="P56" s="182">
        <f t="shared" si="41"/>
        <v>1</v>
      </c>
      <c r="R56" s="318"/>
      <c r="S56" s="322">
        <v>2018</v>
      </c>
      <c r="T56" s="322">
        <v>2</v>
      </c>
      <c r="U56" s="322">
        <v>19</v>
      </c>
      <c r="V56" s="322">
        <v>5</v>
      </c>
      <c r="W56" s="322">
        <v>8</v>
      </c>
      <c r="X56" s="322">
        <v>3</v>
      </c>
      <c r="Y56" s="322">
        <v>13</v>
      </c>
      <c r="Z56" s="321">
        <v>7</v>
      </c>
      <c r="AA56" s="321">
        <v>3</v>
      </c>
      <c r="AB56" s="321">
        <v>13</v>
      </c>
      <c r="AC56" s="321">
        <v>1</v>
      </c>
      <c r="AD56" s="321">
        <v>11</v>
      </c>
      <c r="AE56" s="321">
        <v>6</v>
      </c>
      <c r="AG56" s="194">
        <v>19</v>
      </c>
      <c r="AH56" s="204" t="s">
        <v>201</v>
      </c>
      <c r="AS56" s="182">
        <f ca="1">OFFSET(INDIRECT(VLOOKUP(VLOOKUP(clFiscalYear,rgPerpCal,7,TRUE),rgPerpMons,2,TRUE)),0,0)</f>
        <v>30</v>
      </c>
      <c r="AT56" s="182">
        <f ca="1">OFFSET(INDIRECT(VLOOKUP(VLOOKUP(clFiscalYear,rgPerpCal,7,TRUE),rgPerpMons,2,TRUE)),0,1)</f>
        <v>0</v>
      </c>
      <c r="AU56" s="182">
        <f ca="1">OFFSET(INDIRECT(VLOOKUP(VLOOKUP(clFiscalYear,rgPerpCal,7,TRUE),rgPerpMons,2,TRUE)),0,2)</f>
        <v>0</v>
      </c>
      <c r="AV56" s="182">
        <f ca="1">OFFSET(INDIRECT(VLOOKUP(VLOOKUP(clFiscalYear,rgPerpCal,7,TRUE),rgPerpMons,2,TRUE)),0,3)</f>
        <v>0</v>
      </c>
      <c r="AW56" s="182">
        <f ca="1">OFFSET(INDIRECT(VLOOKUP(VLOOKUP(clFiscalYear,rgPerpCal,7,TRUE),rgPerpMons,2,TRUE)),0,4)</f>
        <v>0</v>
      </c>
      <c r="AX56" s="182">
        <f ca="1">OFFSET(INDIRECT(VLOOKUP(VLOOKUP(clFiscalYear,rgPerpCal,7,TRUE),rgPerpMons,2,TRUE)),0,5)</f>
        <v>0</v>
      </c>
      <c r="AY56" s="182">
        <f ca="1">OFFSET(INDIRECT(VLOOKUP(VLOOKUP(clFiscalYear,rgPerpCal,7,TRUE),rgPerpMons,2,TRUE)),0,6)</f>
        <v>1</v>
      </c>
      <c r="AZ56" s="181">
        <f aca="true" t="shared" si="46" ref="AZ56:BF60">IF(AS56&lt;&gt;0,DATEVALUE(AS56&amp;" June "&amp;clFiscalYear),0)</f>
        <v>45473</v>
      </c>
      <c r="BA56" s="181">
        <f t="shared" si="46"/>
        <v>0</v>
      </c>
      <c r="BB56" s="181">
        <f t="shared" si="46"/>
        <v>0</v>
      </c>
      <c r="BC56" s="181">
        <f t="shared" si="46"/>
        <v>0</v>
      </c>
      <c r="BD56" s="181">
        <f t="shared" si="46"/>
        <v>0</v>
      </c>
      <c r="BE56" s="181">
        <f t="shared" si="46"/>
        <v>0</v>
      </c>
      <c r="BF56" s="181">
        <f t="shared" si="46"/>
        <v>45444</v>
      </c>
      <c r="BG56" s="182" t="str">
        <f t="shared" si="23"/>
        <v>.30</v>
      </c>
      <c r="BH56" s="182">
        <f t="shared" si="24"/>
        <v>0</v>
      </c>
      <c r="BI56" s="182">
        <f t="shared" si="8"/>
        <v>0</v>
      </c>
      <c r="BJ56" s="182">
        <f t="shared" si="9"/>
        <v>0</v>
      </c>
      <c r="BK56" s="182">
        <f t="shared" si="10"/>
        <v>0</v>
      </c>
      <c r="BL56" s="182">
        <f t="shared" si="11"/>
        <v>0</v>
      </c>
      <c r="BM56" s="182" t="str">
        <f t="shared" si="12"/>
        <v>.1</v>
      </c>
      <c r="BN56" s="218" t="str">
        <f t="shared" si="25"/>
        <v>.30</v>
      </c>
      <c r="BO56" s="218">
        <f t="shared" si="26"/>
        <v>0</v>
      </c>
      <c r="BP56" s="218">
        <f t="shared" si="13"/>
        <v>0</v>
      </c>
      <c r="BQ56" s="218">
        <f t="shared" si="14"/>
        <v>0</v>
      </c>
      <c r="BR56" s="218">
        <f t="shared" si="15"/>
        <v>0</v>
      </c>
      <c r="BS56" s="218">
        <f t="shared" si="16"/>
        <v>0</v>
      </c>
      <c r="BT56" s="218" t="str">
        <f t="shared" si="17"/>
        <v>.1</v>
      </c>
      <c r="BU56" s="218" t="str">
        <f t="shared" si="27"/>
        <v>.30</v>
      </c>
      <c r="BV56" s="218">
        <f t="shared" si="28"/>
        <v>0</v>
      </c>
      <c r="BW56" s="218">
        <f t="shared" si="18"/>
        <v>0</v>
      </c>
      <c r="BX56" s="218">
        <f t="shared" si="19"/>
        <v>0</v>
      </c>
      <c r="BY56" s="218">
        <f t="shared" si="20"/>
        <v>0</v>
      </c>
      <c r="BZ56" s="218">
        <f t="shared" si="21"/>
        <v>0</v>
      </c>
      <c r="CA56" s="218" t="str">
        <f t="shared" si="22"/>
        <v>.1</v>
      </c>
    </row>
    <row r="57" spans="10:79" ht="12.75">
      <c r="J57" s="182">
        <f t="shared" si="35"/>
        <v>2</v>
      </c>
      <c r="K57" s="182">
        <f t="shared" si="36"/>
        <v>3</v>
      </c>
      <c r="L57" s="182">
        <f t="shared" si="37"/>
        <v>4</v>
      </c>
      <c r="M57" s="182">
        <f t="shared" si="38"/>
        <v>5</v>
      </c>
      <c r="N57" s="182">
        <f t="shared" si="39"/>
        <v>6</v>
      </c>
      <c r="O57" s="182">
        <f t="shared" si="40"/>
        <v>7</v>
      </c>
      <c r="P57" s="182">
        <f t="shared" si="41"/>
        <v>8</v>
      </c>
      <c r="R57" s="318"/>
      <c r="S57" s="317">
        <v>2019</v>
      </c>
      <c r="T57" s="317">
        <v>3</v>
      </c>
      <c r="U57" s="317">
        <v>20</v>
      </c>
      <c r="V57" s="317">
        <v>6</v>
      </c>
      <c r="W57" s="317">
        <v>9</v>
      </c>
      <c r="X57" s="317">
        <v>4</v>
      </c>
      <c r="Y57" s="317">
        <v>14</v>
      </c>
      <c r="Z57" s="322">
        <v>1</v>
      </c>
      <c r="AA57" s="322">
        <v>4</v>
      </c>
      <c r="AB57" s="322">
        <v>14</v>
      </c>
      <c r="AC57" s="322">
        <v>2</v>
      </c>
      <c r="AD57" s="322">
        <v>12</v>
      </c>
      <c r="AE57" s="322">
        <v>7</v>
      </c>
      <c r="AG57" s="194">
        <v>20</v>
      </c>
      <c r="AH57" s="204" t="s">
        <v>202</v>
      </c>
      <c r="AS57" s="182">
        <f ca="1">OFFSET(INDIRECT(VLOOKUP(VLOOKUP(clFiscalYear,rgPerpCal,7,TRUE),rgPerpMons,2,TRUE)),1,0)</f>
        <v>2</v>
      </c>
      <c r="AT57" s="182">
        <f ca="1">OFFSET(INDIRECT(VLOOKUP(VLOOKUP(clFiscalYear,rgPerpCal,7,TRUE),rgPerpMons,2,TRUE)),1,1)</f>
        <v>3</v>
      </c>
      <c r="AU57" s="182">
        <f ca="1">OFFSET(INDIRECT(VLOOKUP(VLOOKUP(clFiscalYear,rgPerpCal,7,TRUE),rgPerpMons,2,TRUE)),1,2)</f>
        <v>4</v>
      </c>
      <c r="AV57" s="182">
        <f ca="1">OFFSET(INDIRECT(VLOOKUP(VLOOKUP(clFiscalYear,rgPerpCal,7,TRUE),rgPerpMons,2,TRUE)),1,3)</f>
        <v>5</v>
      </c>
      <c r="AW57" s="182">
        <f ca="1">OFFSET(INDIRECT(VLOOKUP(VLOOKUP(clFiscalYear,rgPerpCal,7,TRUE),rgPerpMons,2,TRUE)),1,4)</f>
        <v>6</v>
      </c>
      <c r="AX57" s="182">
        <f ca="1">OFFSET(INDIRECT(VLOOKUP(VLOOKUP(clFiscalYear,rgPerpCal,7,TRUE),rgPerpMons,2,TRUE)),1,5)</f>
        <v>7</v>
      </c>
      <c r="AY57" s="182">
        <f ca="1">OFFSET(INDIRECT(VLOOKUP(VLOOKUP(clFiscalYear,rgPerpCal,7,TRUE),rgPerpMons,2,TRUE)),1,6)</f>
        <v>8</v>
      </c>
      <c r="AZ57" s="181">
        <f t="shared" si="46"/>
        <v>45445</v>
      </c>
      <c r="BA57" s="181">
        <f t="shared" si="46"/>
        <v>45446</v>
      </c>
      <c r="BB57" s="181">
        <f t="shared" si="46"/>
        <v>45447</v>
      </c>
      <c r="BC57" s="181">
        <f t="shared" si="46"/>
        <v>45448</v>
      </c>
      <c r="BD57" s="181">
        <f t="shared" si="46"/>
        <v>45449</v>
      </c>
      <c r="BE57" s="181">
        <f t="shared" si="46"/>
        <v>45450</v>
      </c>
      <c r="BF57" s="181">
        <f t="shared" si="46"/>
        <v>45451</v>
      </c>
      <c r="BG57" s="182" t="str">
        <f t="shared" si="23"/>
        <v>.2</v>
      </c>
      <c r="BH57" s="182" t="str">
        <f t="shared" si="24"/>
        <v>.3</v>
      </c>
      <c r="BI57" s="182" t="str">
        <f t="shared" si="8"/>
        <v>.4</v>
      </c>
      <c r="BJ57" s="182" t="str">
        <f t="shared" si="9"/>
        <v>.5</v>
      </c>
      <c r="BK57" s="182" t="str">
        <f t="shared" si="10"/>
        <v>.6</v>
      </c>
      <c r="BL57" s="182" t="str">
        <f t="shared" si="11"/>
        <v>.7</v>
      </c>
      <c r="BM57" s="182" t="str">
        <f t="shared" si="12"/>
        <v>.8</v>
      </c>
      <c r="BN57" s="218" t="str">
        <f t="shared" si="25"/>
        <v>.2</v>
      </c>
      <c r="BO57" s="218" t="str">
        <f t="shared" si="26"/>
        <v>.3</v>
      </c>
      <c r="BP57" s="218" t="str">
        <f t="shared" si="13"/>
        <v>.4</v>
      </c>
      <c r="BQ57" s="218" t="str">
        <f t="shared" si="14"/>
        <v>.5</v>
      </c>
      <c r="BR57" s="218" t="str">
        <f t="shared" si="15"/>
        <v>.6</v>
      </c>
      <c r="BS57" s="218" t="str">
        <f t="shared" si="16"/>
        <v>.7</v>
      </c>
      <c r="BT57" s="218" t="str">
        <f t="shared" si="17"/>
        <v>.8</v>
      </c>
      <c r="BU57" s="218" t="str">
        <f t="shared" si="27"/>
        <v>.2</v>
      </c>
      <c r="BV57" s="218" t="str">
        <f t="shared" si="28"/>
        <v>.3</v>
      </c>
      <c r="BW57" s="218" t="str">
        <f t="shared" si="18"/>
        <v>.4</v>
      </c>
      <c r="BX57" s="218" t="str">
        <f t="shared" si="19"/>
        <v>.5</v>
      </c>
      <c r="BY57" s="218" t="str">
        <f t="shared" si="20"/>
        <v>.6</v>
      </c>
      <c r="BZ57" s="218" t="str">
        <f t="shared" si="21"/>
        <v>.7</v>
      </c>
      <c r="CA57" s="218" t="str">
        <f t="shared" si="22"/>
        <v>.8</v>
      </c>
    </row>
    <row r="58" spans="10:79" ht="12.75">
      <c r="J58" s="182">
        <f t="shared" si="35"/>
        <v>9</v>
      </c>
      <c r="K58" s="182">
        <f t="shared" si="36"/>
        <v>10</v>
      </c>
      <c r="L58" s="182">
        <f t="shared" si="37"/>
        <v>11</v>
      </c>
      <c r="M58" s="182">
        <f t="shared" si="38"/>
        <v>12</v>
      </c>
      <c r="N58" s="182">
        <f t="shared" si="39"/>
        <v>13</v>
      </c>
      <c r="O58" s="182">
        <f t="shared" si="40"/>
        <v>14</v>
      </c>
      <c r="P58" s="182">
        <f t="shared" si="41"/>
        <v>15</v>
      </c>
      <c r="R58" s="318"/>
      <c r="S58" s="321">
        <v>2020</v>
      </c>
      <c r="T58" s="321">
        <v>4</v>
      </c>
      <c r="U58" s="321">
        <v>28</v>
      </c>
      <c r="V58" s="321">
        <v>1</v>
      </c>
      <c r="W58" s="321">
        <v>11</v>
      </c>
      <c r="X58" s="321">
        <v>6</v>
      </c>
      <c r="Y58" s="321">
        <v>9</v>
      </c>
      <c r="Z58" s="317">
        <v>2</v>
      </c>
      <c r="AA58" s="317">
        <v>5</v>
      </c>
      <c r="AB58" s="317">
        <v>8</v>
      </c>
      <c r="AC58" s="317">
        <v>3</v>
      </c>
      <c r="AD58" s="317">
        <v>13</v>
      </c>
      <c r="AE58" s="317">
        <v>1</v>
      </c>
      <c r="AG58" s="194">
        <v>21</v>
      </c>
      <c r="AH58" s="204" t="s">
        <v>203</v>
      </c>
      <c r="AS58" s="182">
        <f ca="1">OFFSET(INDIRECT(VLOOKUP(VLOOKUP(clFiscalYear,rgPerpCal,7,TRUE),rgPerpMons,2,TRUE)),2,0)</f>
        <v>9</v>
      </c>
      <c r="AT58" s="182">
        <f ca="1">OFFSET(INDIRECT(VLOOKUP(VLOOKUP(clFiscalYear,rgPerpCal,7,TRUE),rgPerpMons,2,TRUE)),2,1)</f>
        <v>10</v>
      </c>
      <c r="AU58" s="182">
        <f ca="1">OFFSET(INDIRECT(VLOOKUP(VLOOKUP(clFiscalYear,rgPerpCal,7,TRUE),rgPerpMons,2,TRUE)),2,2)</f>
        <v>11</v>
      </c>
      <c r="AV58" s="182">
        <f ca="1">OFFSET(INDIRECT(VLOOKUP(VLOOKUP(clFiscalYear,rgPerpCal,7,TRUE),rgPerpMons,2,TRUE)),2,3)</f>
        <v>12</v>
      </c>
      <c r="AW58" s="182">
        <f ca="1">OFFSET(INDIRECT(VLOOKUP(VLOOKUP(clFiscalYear,rgPerpCal,7,TRUE),rgPerpMons,2,TRUE)),2,4)</f>
        <v>13</v>
      </c>
      <c r="AX58" s="182">
        <f ca="1">OFFSET(INDIRECT(VLOOKUP(VLOOKUP(clFiscalYear,rgPerpCal,7,TRUE),rgPerpMons,2,TRUE)),2,5)</f>
        <v>14</v>
      </c>
      <c r="AY58" s="182">
        <f ca="1">OFFSET(INDIRECT(VLOOKUP(VLOOKUP(clFiscalYear,rgPerpCal,7,TRUE),rgPerpMons,2,TRUE)),2,6)</f>
        <v>15</v>
      </c>
      <c r="AZ58" s="181">
        <f t="shared" si="46"/>
        <v>45452</v>
      </c>
      <c r="BA58" s="181">
        <f t="shared" si="46"/>
        <v>45453</v>
      </c>
      <c r="BB58" s="181">
        <f t="shared" si="46"/>
        <v>45454</v>
      </c>
      <c r="BC58" s="181">
        <f t="shared" si="46"/>
        <v>45455</v>
      </c>
      <c r="BD58" s="181">
        <f t="shared" si="46"/>
        <v>45456</v>
      </c>
      <c r="BE58" s="181">
        <f t="shared" si="46"/>
        <v>45457</v>
      </c>
      <c r="BF58" s="181">
        <f t="shared" si="46"/>
        <v>45458</v>
      </c>
      <c r="BG58" s="182" t="str">
        <f t="shared" si="23"/>
        <v>.9</v>
      </c>
      <c r="BH58" s="182" t="str">
        <f t="shared" si="24"/>
        <v>.10</v>
      </c>
      <c r="BI58" s="182" t="str">
        <f t="shared" si="8"/>
        <v>.11</v>
      </c>
      <c r="BJ58" s="182" t="str">
        <f t="shared" si="9"/>
        <v>.12</v>
      </c>
      <c r="BK58" s="182" t="str">
        <f t="shared" si="10"/>
        <v>.13</v>
      </c>
      <c r="BL58" s="182" t="str">
        <f t="shared" si="11"/>
        <v>.14</v>
      </c>
      <c r="BM58" s="182" t="str">
        <f t="shared" si="12"/>
        <v>.15</v>
      </c>
      <c r="BN58" s="218" t="str">
        <f t="shared" si="25"/>
        <v>.9</v>
      </c>
      <c r="BO58" s="218" t="str">
        <f t="shared" si="26"/>
        <v>.10</v>
      </c>
      <c r="BP58" s="218" t="str">
        <f t="shared" si="13"/>
        <v>.11</v>
      </c>
      <c r="BQ58" s="218" t="str">
        <f t="shared" si="14"/>
        <v>.12</v>
      </c>
      <c r="BR58" s="218" t="str">
        <f t="shared" si="15"/>
        <v>.13</v>
      </c>
      <c r="BS58" s="218" t="str">
        <f t="shared" si="16"/>
        <v>.14</v>
      </c>
      <c r="BT58" s="218" t="str">
        <f t="shared" si="17"/>
        <v>.15</v>
      </c>
      <c r="BU58" s="218" t="str">
        <f t="shared" si="27"/>
        <v>.9</v>
      </c>
      <c r="BV58" s="218" t="str">
        <f t="shared" si="28"/>
        <v>.10</v>
      </c>
      <c r="BW58" s="218" t="str">
        <f t="shared" si="18"/>
        <v>.11</v>
      </c>
      <c r="BX58" s="218" t="str">
        <f t="shared" si="19"/>
        <v>.12</v>
      </c>
      <c r="BY58" s="218" t="str">
        <f t="shared" si="20"/>
        <v>.13</v>
      </c>
      <c r="BZ58" s="218" t="str">
        <f t="shared" si="21"/>
        <v>.14</v>
      </c>
      <c r="CA58" s="218" t="str">
        <f t="shared" si="22"/>
        <v>.15</v>
      </c>
    </row>
    <row r="59" spans="10:79" ht="12.75">
      <c r="J59" s="182">
        <f t="shared" si="35"/>
        <v>16</v>
      </c>
      <c r="K59" s="182">
        <f t="shared" si="36"/>
        <v>17</v>
      </c>
      <c r="L59" s="182">
        <f t="shared" si="37"/>
        <v>18</v>
      </c>
      <c r="M59" s="182">
        <f t="shared" si="38"/>
        <v>19</v>
      </c>
      <c r="N59" s="182">
        <f t="shared" si="39"/>
        <v>20</v>
      </c>
      <c r="O59" s="182">
        <f t="shared" si="40"/>
        <v>21</v>
      </c>
      <c r="P59" s="182">
        <f t="shared" si="41"/>
        <v>22</v>
      </c>
      <c r="R59" s="318"/>
      <c r="S59" s="322">
        <v>2021</v>
      </c>
      <c r="T59" s="322">
        <v>6</v>
      </c>
      <c r="U59" s="322">
        <v>16</v>
      </c>
      <c r="V59" s="322">
        <v>2</v>
      </c>
      <c r="W59" s="322">
        <v>12</v>
      </c>
      <c r="X59" s="322">
        <v>7</v>
      </c>
      <c r="Y59" s="322">
        <v>10</v>
      </c>
      <c r="Z59" s="321">
        <v>4</v>
      </c>
      <c r="AA59" s="321">
        <v>7</v>
      </c>
      <c r="AB59" s="321">
        <v>10</v>
      </c>
      <c r="AC59" s="321">
        <v>5</v>
      </c>
      <c r="AD59" s="321">
        <v>8</v>
      </c>
      <c r="AE59" s="321">
        <v>3</v>
      </c>
      <c r="AG59" s="194">
        <v>22</v>
      </c>
      <c r="AH59" s="204" t="s">
        <v>204</v>
      </c>
      <c r="AS59" s="182">
        <f ca="1">OFFSET(INDIRECT(VLOOKUP(VLOOKUP(clFiscalYear,rgPerpCal,7,TRUE),rgPerpMons,2,TRUE)),3,0)</f>
        <v>16</v>
      </c>
      <c r="AT59" s="182">
        <f ca="1">OFFSET(INDIRECT(VLOOKUP(VLOOKUP(clFiscalYear,rgPerpCal,7,TRUE),rgPerpMons,2,TRUE)),3,1)</f>
        <v>17</v>
      </c>
      <c r="AU59" s="182">
        <f ca="1">OFFSET(INDIRECT(VLOOKUP(VLOOKUP(clFiscalYear,rgPerpCal,7,TRUE),rgPerpMons,2,TRUE)),3,2)</f>
        <v>18</v>
      </c>
      <c r="AV59" s="182">
        <f ca="1">OFFSET(INDIRECT(VLOOKUP(VLOOKUP(clFiscalYear,rgPerpCal,7,TRUE),rgPerpMons,2,TRUE)),3,3)</f>
        <v>19</v>
      </c>
      <c r="AW59" s="182">
        <f ca="1">OFFSET(INDIRECT(VLOOKUP(VLOOKUP(clFiscalYear,rgPerpCal,7,TRUE),rgPerpMons,2,TRUE)),3,4)</f>
        <v>20</v>
      </c>
      <c r="AX59" s="182">
        <f ca="1">OFFSET(INDIRECT(VLOOKUP(VLOOKUP(clFiscalYear,rgPerpCal,7,TRUE),rgPerpMons,2,TRUE)),3,5)</f>
        <v>21</v>
      </c>
      <c r="AY59" s="182">
        <f ca="1">OFFSET(INDIRECT(VLOOKUP(VLOOKUP(clFiscalYear,rgPerpCal,7,TRUE),rgPerpMons,2,TRUE)),3,6)</f>
        <v>22</v>
      </c>
      <c r="AZ59" s="181">
        <f t="shared" si="46"/>
        <v>45459</v>
      </c>
      <c r="BA59" s="181">
        <f t="shared" si="46"/>
        <v>45460</v>
      </c>
      <c r="BB59" s="181">
        <f t="shared" si="46"/>
        <v>45461</v>
      </c>
      <c r="BC59" s="181">
        <f t="shared" si="46"/>
        <v>45462</v>
      </c>
      <c r="BD59" s="181">
        <f t="shared" si="46"/>
        <v>45463</v>
      </c>
      <c r="BE59" s="181">
        <f t="shared" si="46"/>
        <v>45464</v>
      </c>
      <c r="BF59" s="181">
        <f t="shared" si="46"/>
        <v>45465</v>
      </c>
      <c r="BG59" s="182" t="str">
        <f t="shared" si="23"/>
        <v>.16</v>
      </c>
      <c r="BH59" s="182" t="str">
        <f t="shared" si="24"/>
        <v>.17</v>
      </c>
      <c r="BI59" s="182" t="str">
        <f t="shared" si="8"/>
        <v>.18</v>
      </c>
      <c r="BJ59" s="182" t="str">
        <f t="shared" si="9"/>
        <v>.19</v>
      </c>
      <c r="BK59" s="182" t="str">
        <f t="shared" si="10"/>
        <v>.20</v>
      </c>
      <c r="BL59" s="182" t="str">
        <f t="shared" si="11"/>
        <v>.21</v>
      </c>
      <c r="BM59" s="182" t="str">
        <f t="shared" si="12"/>
        <v>.22</v>
      </c>
      <c r="BN59" s="218" t="str">
        <f t="shared" si="25"/>
        <v>.16</v>
      </c>
      <c r="BO59" s="218" t="str">
        <f t="shared" si="26"/>
        <v>.17</v>
      </c>
      <c r="BP59" s="218" t="str">
        <f t="shared" si="13"/>
        <v>.18</v>
      </c>
      <c r="BQ59" s="218" t="str">
        <f t="shared" si="14"/>
        <v>.19</v>
      </c>
      <c r="BR59" s="218" t="str">
        <f t="shared" si="15"/>
        <v>.20</v>
      </c>
      <c r="BS59" s="218" t="str">
        <f t="shared" si="16"/>
        <v>.21</v>
      </c>
      <c r="BT59" s="218" t="str">
        <f t="shared" si="17"/>
        <v>.22</v>
      </c>
      <c r="BU59" s="218" t="str">
        <f t="shared" si="27"/>
        <v>.16</v>
      </c>
      <c r="BV59" s="218" t="str">
        <f t="shared" si="28"/>
        <v>.17</v>
      </c>
      <c r="BW59" s="218" t="str">
        <f t="shared" si="18"/>
        <v>.18</v>
      </c>
      <c r="BX59" s="218" t="str">
        <f t="shared" si="19"/>
        <v>.19</v>
      </c>
      <c r="BY59" s="218" t="str">
        <f t="shared" si="20"/>
        <v>.20</v>
      </c>
      <c r="BZ59" s="218" t="str">
        <f t="shared" si="21"/>
        <v>.21</v>
      </c>
      <c r="CA59" s="218" t="str">
        <f t="shared" si="22"/>
        <v>.22</v>
      </c>
    </row>
    <row r="60" spans="10:79" ht="12.75">
      <c r="J60" s="182">
        <f t="shared" si="35"/>
        <v>23</v>
      </c>
      <c r="K60" s="182">
        <f t="shared" si="36"/>
        <v>24</v>
      </c>
      <c r="L60" s="182">
        <f t="shared" si="37"/>
        <v>25</v>
      </c>
      <c r="M60" s="182">
        <f t="shared" si="38"/>
        <v>26</v>
      </c>
      <c r="N60" s="182">
        <f t="shared" si="39"/>
        <v>27</v>
      </c>
      <c r="O60" s="182">
        <f t="shared" si="40"/>
        <v>28</v>
      </c>
      <c r="P60" s="182">
        <f t="shared" si="41"/>
        <v>29</v>
      </c>
      <c r="R60" s="318"/>
      <c r="S60" s="317">
        <v>2022</v>
      </c>
      <c r="T60" s="317">
        <v>7</v>
      </c>
      <c r="U60" s="317">
        <v>17</v>
      </c>
      <c r="V60" s="317">
        <v>3</v>
      </c>
      <c r="W60" s="317">
        <v>13</v>
      </c>
      <c r="X60" s="317">
        <v>1</v>
      </c>
      <c r="Y60" s="317">
        <v>11</v>
      </c>
      <c r="Z60" s="322">
        <v>5</v>
      </c>
      <c r="AA60" s="322">
        <v>1</v>
      </c>
      <c r="AB60" s="322">
        <v>11</v>
      </c>
      <c r="AC60" s="322">
        <v>6</v>
      </c>
      <c r="AD60" s="322">
        <v>9</v>
      </c>
      <c r="AE60" s="322">
        <v>4</v>
      </c>
      <c r="AG60" s="194">
        <v>23</v>
      </c>
      <c r="AH60" s="204" t="s">
        <v>205</v>
      </c>
      <c r="AS60" s="182">
        <f ca="1">OFFSET(INDIRECT(VLOOKUP(VLOOKUP(clFiscalYear,rgPerpCal,7,TRUE),rgPerpMons,2,TRUE)),4,0)</f>
        <v>23</v>
      </c>
      <c r="AT60" s="182">
        <f ca="1">OFFSET(INDIRECT(VLOOKUP(VLOOKUP(clFiscalYear,rgPerpCal,7,TRUE),rgPerpMons,2,TRUE)),4,1)</f>
        <v>24</v>
      </c>
      <c r="AU60" s="182">
        <f ca="1">OFFSET(INDIRECT(VLOOKUP(VLOOKUP(clFiscalYear,rgPerpCal,7,TRUE),rgPerpMons,2,TRUE)),4,2)</f>
        <v>25</v>
      </c>
      <c r="AV60" s="182">
        <f ca="1">OFFSET(INDIRECT(VLOOKUP(VLOOKUP(clFiscalYear,rgPerpCal,7,TRUE),rgPerpMons,2,TRUE)),4,3)</f>
        <v>26</v>
      </c>
      <c r="AW60" s="182">
        <f ca="1">OFFSET(INDIRECT(VLOOKUP(VLOOKUP(clFiscalYear,rgPerpCal,7,TRUE),rgPerpMons,2,TRUE)),4,4)</f>
        <v>27</v>
      </c>
      <c r="AX60" s="182">
        <f ca="1">OFFSET(INDIRECT(VLOOKUP(VLOOKUP(clFiscalYear,rgPerpCal,7,TRUE),rgPerpMons,2,TRUE)),4,5)</f>
        <v>28</v>
      </c>
      <c r="AY60" s="182">
        <f ca="1">OFFSET(INDIRECT(VLOOKUP(VLOOKUP(clFiscalYear,rgPerpCal,7,TRUE),rgPerpMons,2,TRUE)),4,6)</f>
        <v>29</v>
      </c>
      <c r="AZ60" s="181">
        <f t="shared" si="46"/>
        <v>45466</v>
      </c>
      <c r="BA60" s="181">
        <f t="shared" si="46"/>
        <v>45467</v>
      </c>
      <c r="BB60" s="181">
        <f t="shared" si="46"/>
        <v>45468</v>
      </c>
      <c r="BC60" s="181">
        <f t="shared" si="46"/>
        <v>45469</v>
      </c>
      <c r="BD60" s="181">
        <f t="shared" si="46"/>
        <v>45470</v>
      </c>
      <c r="BE60" s="181">
        <f t="shared" si="46"/>
        <v>45471</v>
      </c>
      <c r="BF60" s="181">
        <f t="shared" si="46"/>
        <v>45472</v>
      </c>
      <c r="BG60" s="182" t="str">
        <f t="shared" si="23"/>
        <v>.23</v>
      </c>
      <c r="BH60" s="182" t="str">
        <f t="shared" si="24"/>
        <v>.24</v>
      </c>
      <c r="BI60" s="182" t="str">
        <f t="shared" si="8"/>
        <v>.25</v>
      </c>
      <c r="BJ60" s="182" t="str">
        <f t="shared" si="9"/>
        <v>.26</v>
      </c>
      <c r="BK60" s="182" t="str">
        <f t="shared" si="10"/>
        <v>.27</v>
      </c>
      <c r="BL60" s="182" t="str">
        <f t="shared" si="11"/>
        <v>.28</v>
      </c>
      <c r="BM60" s="182" t="str">
        <f t="shared" si="12"/>
        <v>.29</v>
      </c>
      <c r="BN60" s="218" t="str">
        <f t="shared" si="25"/>
        <v>.23</v>
      </c>
      <c r="BO60" s="218" t="str">
        <f t="shared" si="26"/>
        <v>.24</v>
      </c>
      <c r="BP60" s="218" t="str">
        <f t="shared" si="13"/>
        <v>.25</v>
      </c>
      <c r="BQ60" s="218" t="str">
        <f t="shared" si="14"/>
        <v>.26</v>
      </c>
      <c r="BR60" s="218" t="str">
        <f t="shared" si="15"/>
        <v>.27</v>
      </c>
      <c r="BS60" s="218" t="str">
        <f t="shared" si="16"/>
        <v>.28</v>
      </c>
      <c r="BT60" s="218" t="str">
        <f t="shared" si="17"/>
        <v>.29</v>
      </c>
      <c r="BU60" s="218" t="str">
        <f t="shared" si="27"/>
        <v>.23</v>
      </c>
      <c r="BV60" s="218" t="str">
        <f t="shared" si="28"/>
        <v>.24</v>
      </c>
      <c r="BW60" s="218" t="str">
        <f t="shared" si="18"/>
        <v>.25</v>
      </c>
      <c r="BX60" s="218" t="str">
        <f t="shared" si="19"/>
        <v>.26</v>
      </c>
      <c r="BY60" s="218" t="str">
        <f t="shared" si="20"/>
        <v>.27</v>
      </c>
      <c r="BZ60" s="218" t="str">
        <f t="shared" si="21"/>
        <v>.28</v>
      </c>
      <c r="CA60" s="218" t="str">
        <f t="shared" si="22"/>
        <v>.29</v>
      </c>
    </row>
    <row r="61" spans="18:65" ht="12.75">
      <c r="R61" s="318"/>
      <c r="S61" s="321">
        <v>2023</v>
      </c>
      <c r="T61" s="321">
        <v>1</v>
      </c>
      <c r="U61" s="321">
        <v>18</v>
      </c>
      <c r="V61" s="321">
        <v>4</v>
      </c>
      <c r="W61" s="321">
        <v>14</v>
      </c>
      <c r="X61" s="321">
        <v>2</v>
      </c>
      <c r="Y61" s="321">
        <v>12</v>
      </c>
      <c r="Z61" s="317">
        <v>6</v>
      </c>
      <c r="AA61" s="317">
        <v>2</v>
      </c>
      <c r="AB61" s="317">
        <v>12</v>
      </c>
      <c r="AC61" s="317">
        <v>7</v>
      </c>
      <c r="AD61" s="317">
        <v>10</v>
      </c>
      <c r="AE61" s="317">
        <v>5</v>
      </c>
      <c r="AG61" s="194">
        <v>24</v>
      </c>
      <c r="AH61" s="204" t="s">
        <v>206</v>
      </c>
      <c r="BG61" s="194"/>
      <c r="BH61" s="194"/>
      <c r="BI61" s="194"/>
      <c r="BJ61" s="194"/>
      <c r="BK61" s="194"/>
      <c r="BL61" s="194"/>
      <c r="BM61" s="194"/>
    </row>
    <row r="62" spans="18:65" ht="12.75">
      <c r="R62" s="318"/>
      <c r="S62" s="322">
        <v>2024</v>
      </c>
      <c r="T62" s="322">
        <v>2</v>
      </c>
      <c r="U62" s="322">
        <v>26</v>
      </c>
      <c r="V62" s="322">
        <v>6</v>
      </c>
      <c r="W62" s="322">
        <v>9</v>
      </c>
      <c r="X62" s="322">
        <v>4</v>
      </c>
      <c r="Y62" s="322">
        <v>14</v>
      </c>
      <c r="Z62" s="321">
        <v>7</v>
      </c>
      <c r="AA62" s="321">
        <v>3</v>
      </c>
      <c r="AB62" s="321">
        <v>13</v>
      </c>
      <c r="AC62" s="321">
        <v>1</v>
      </c>
      <c r="AD62" s="321">
        <v>11</v>
      </c>
      <c r="AE62" s="321">
        <v>6</v>
      </c>
      <c r="AG62" s="194">
        <v>25</v>
      </c>
      <c r="AH62" s="204" t="s">
        <v>207</v>
      </c>
      <c r="BG62" s="194"/>
      <c r="BH62" s="194"/>
      <c r="BI62" s="194"/>
      <c r="BJ62" s="194"/>
      <c r="BK62" s="194"/>
      <c r="BL62" s="194"/>
      <c r="BM62" s="194"/>
    </row>
    <row r="63" spans="18:65" ht="12.75">
      <c r="R63" s="318"/>
      <c r="S63" s="317">
        <v>2025</v>
      </c>
      <c r="T63" s="317">
        <v>4</v>
      </c>
      <c r="U63" s="317">
        <v>21</v>
      </c>
      <c r="V63" s="317">
        <v>7</v>
      </c>
      <c r="W63" s="317">
        <v>10</v>
      </c>
      <c r="X63" s="317">
        <v>5</v>
      </c>
      <c r="Y63" s="317">
        <v>8</v>
      </c>
      <c r="Z63" s="322">
        <v>2</v>
      </c>
      <c r="AA63" s="322">
        <v>5</v>
      </c>
      <c r="AB63" s="322">
        <v>8</v>
      </c>
      <c r="AC63" s="322">
        <v>3</v>
      </c>
      <c r="AD63" s="322">
        <v>13</v>
      </c>
      <c r="AE63" s="322">
        <v>1</v>
      </c>
      <c r="AG63" s="194">
        <v>26</v>
      </c>
      <c r="AH63" s="204" t="s">
        <v>208</v>
      </c>
      <c r="BG63" s="194"/>
      <c r="BH63" s="194"/>
      <c r="BI63" s="194"/>
      <c r="BJ63" s="194"/>
      <c r="BK63" s="194"/>
      <c r="BL63" s="194"/>
      <c r="BM63" s="194"/>
    </row>
    <row r="64" spans="11:65" ht="12.75">
      <c r="K64" s="181" t="s">
        <v>180</v>
      </c>
      <c r="L64" s="181" t="s">
        <v>181</v>
      </c>
      <c r="V64" s="194"/>
      <c r="W64" s="194"/>
      <c r="X64" s="194"/>
      <c r="Y64" s="194"/>
      <c r="Z64" s="317">
        <v>3</v>
      </c>
      <c r="AA64" s="317">
        <v>6</v>
      </c>
      <c r="AB64" s="317">
        <v>9</v>
      </c>
      <c r="AC64" s="317">
        <v>4</v>
      </c>
      <c r="AD64" s="317">
        <v>14</v>
      </c>
      <c r="AE64" s="317">
        <v>2</v>
      </c>
      <c r="AG64" s="194">
        <v>27</v>
      </c>
      <c r="AH64" s="204" t="s">
        <v>209</v>
      </c>
      <c r="BG64" s="194"/>
      <c r="BH64" s="194"/>
      <c r="BI64" s="194"/>
      <c r="BJ64" s="194"/>
      <c r="BK64" s="194"/>
      <c r="BL64" s="194"/>
      <c r="BM64" s="194"/>
    </row>
    <row r="65" spans="11:65" ht="12.75">
      <c r="K65" s="190" t="s">
        <v>48</v>
      </c>
      <c r="L65" s="181">
        <v>1</v>
      </c>
      <c r="M65" s="190" t="s">
        <v>69</v>
      </c>
      <c r="O65" s="181" t="s">
        <v>420</v>
      </c>
      <c r="P65" s="181" t="s">
        <v>422</v>
      </c>
      <c r="Q65" s="385" t="s">
        <v>642</v>
      </c>
      <c r="AG65" s="194">
        <v>28</v>
      </c>
      <c r="AH65" s="204" t="s">
        <v>210</v>
      </c>
      <c r="BG65" s="194"/>
      <c r="BH65" s="194"/>
      <c r="BI65" s="194"/>
      <c r="BJ65" s="194"/>
      <c r="BK65" s="194"/>
      <c r="BL65" s="194"/>
      <c r="BM65" s="194"/>
    </row>
    <row r="66" spans="11:65" ht="12.75">
      <c r="K66" s="190" t="s">
        <v>57</v>
      </c>
      <c r="L66" s="181">
        <v>2</v>
      </c>
      <c r="M66" s="190" t="s">
        <v>70</v>
      </c>
      <c r="O66" s="181" t="s">
        <v>421</v>
      </c>
      <c r="P66" s="181" t="s">
        <v>56</v>
      </c>
      <c r="Q66" s="385" t="s">
        <v>641</v>
      </c>
      <c r="BG66" s="194"/>
      <c r="BH66" s="194"/>
      <c r="BI66" s="194"/>
      <c r="BJ66" s="194"/>
      <c r="BK66" s="194"/>
      <c r="BL66" s="194"/>
      <c r="BM66" s="194"/>
    </row>
    <row r="67" spans="11:65" ht="12.75">
      <c r="K67" s="190" t="s">
        <v>61</v>
      </c>
      <c r="L67" s="181">
        <v>3</v>
      </c>
      <c r="BG67" s="194"/>
      <c r="BH67" s="194"/>
      <c r="BI67" s="194"/>
      <c r="BJ67" s="194"/>
      <c r="BK67" s="194"/>
      <c r="BL67" s="194"/>
      <c r="BM67" s="194"/>
    </row>
    <row r="68" spans="11:65" ht="12.75">
      <c r="K68" s="190" t="s">
        <v>49</v>
      </c>
      <c r="L68" s="181">
        <v>4</v>
      </c>
      <c r="BG68" s="194"/>
      <c r="BH68" s="194"/>
      <c r="BI68" s="194"/>
      <c r="BJ68" s="194"/>
      <c r="BK68" s="194"/>
      <c r="BL68" s="194"/>
      <c r="BM68" s="194"/>
    </row>
    <row r="69" spans="11:65" ht="12.75">
      <c r="K69" s="190" t="s">
        <v>58</v>
      </c>
      <c r="L69" s="181">
        <v>5</v>
      </c>
      <c r="BG69" s="194"/>
      <c r="BH69" s="194"/>
      <c r="BI69" s="194"/>
      <c r="BJ69" s="194"/>
      <c r="BK69" s="194"/>
      <c r="BL69" s="194"/>
      <c r="BM69" s="194"/>
    </row>
    <row r="70" spans="11:65" ht="12.75">
      <c r="K70" s="190" t="s">
        <v>62</v>
      </c>
      <c r="L70" s="181">
        <v>6</v>
      </c>
      <c r="BG70" s="194"/>
      <c r="BH70" s="194"/>
      <c r="BI70" s="194"/>
      <c r="BJ70" s="194"/>
      <c r="BK70" s="194"/>
      <c r="BL70" s="194"/>
      <c r="BM70" s="194"/>
    </row>
    <row r="71" spans="11:65" ht="12.75">
      <c r="K71" s="190" t="s">
        <v>50</v>
      </c>
      <c r="L71" s="181">
        <v>7</v>
      </c>
      <c r="BG71" s="194"/>
      <c r="BH71" s="194"/>
      <c r="BI71" s="194"/>
      <c r="BJ71" s="194"/>
      <c r="BK71" s="194"/>
      <c r="BL71" s="194"/>
      <c r="BM71" s="194"/>
    </row>
    <row r="72" spans="11:65" ht="12.75">
      <c r="K72" s="190" t="s">
        <v>59</v>
      </c>
      <c r="L72" s="181">
        <v>8</v>
      </c>
      <c r="BG72" s="194"/>
      <c r="BH72" s="194"/>
      <c r="BI72" s="194"/>
      <c r="BJ72" s="194"/>
      <c r="BK72" s="194"/>
      <c r="BL72" s="194"/>
      <c r="BM72" s="194"/>
    </row>
    <row r="73" spans="11:65" ht="12.75">
      <c r="K73" s="190" t="s">
        <v>63</v>
      </c>
      <c r="L73" s="181">
        <v>9</v>
      </c>
      <c r="BG73" s="194"/>
      <c r="BH73" s="194"/>
      <c r="BI73" s="194"/>
      <c r="BJ73" s="194"/>
      <c r="BK73" s="194"/>
      <c r="BL73" s="194"/>
      <c r="BM73" s="194"/>
    </row>
    <row r="74" spans="11:65" ht="12.75">
      <c r="K74" s="190" t="s">
        <v>51</v>
      </c>
      <c r="L74" s="181">
        <v>10</v>
      </c>
      <c r="BG74" s="194"/>
      <c r="BH74" s="194"/>
      <c r="BI74" s="194"/>
      <c r="BJ74" s="194"/>
      <c r="BK74" s="194"/>
      <c r="BL74" s="194"/>
      <c r="BM74" s="194"/>
    </row>
    <row r="75" spans="11:65" ht="12.75">
      <c r="K75" s="190" t="s">
        <v>60</v>
      </c>
      <c r="L75" s="181">
        <v>11</v>
      </c>
      <c r="BG75" s="194"/>
      <c r="BH75" s="194"/>
      <c r="BI75" s="194"/>
      <c r="BJ75" s="194"/>
      <c r="BK75" s="194"/>
      <c r="BL75" s="194"/>
      <c r="BM75" s="194"/>
    </row>
    <row r="76" spans="11:65" ht="12.75">
      <c r="K76" s="190" t="s">
        <v>64</v>
      </c>
      <c r="L76" s="181">
        <v>12</v>
      </c>
      <c r="BG76" s="194"/>
      <c r="BH76" s="194"/>
      <c r="BI76" s="194"/>
      <c r="BJ76" s="194"/>
      <c r="BK76" s="194"/>
      <c r="BL76" s="194"/>
      <c r="BM76" s="194"/>
    </row>
    <row r="77" spans="12:65" ht="12.75">
      <c r="L77" s="181">
        <v>13</v>
      </c>
      <c r="BG77" s="194"/>
      <c r="BH77" s="194"/>
      <c r="BI77" s="194"/>
      <c r="BJ77" s="194"/>
      <c r="BK77" s="194"/>
      <c r="BL77" s="194"/>
      <c r="BM77" s="194"/>
    </row>
    <row r="78" spans="12:65" ht="12.75">
      <c r="L78" s="181">
        <v>14</v>
      </c>
      <c r="BG78" s="194"/>
      <c r="BH78" s="194"/>
      <c r="BI78" s="194"/>
      <c r="BJ78" s="194"/>
      <c r="BK78" s="194"/>
      <c r="BL78" s="194"/>
      <c r="BM78" s="194"/>
    </row>
    <row r="79" spans="12:65" ht="12.75">
      <c r="L79" s="181">
        <v>15</v>
      </c>
      <c r="BG79" s="194"/>
      <c r="BH79" s="194"/>
      <c r="BI79" s="194"/>
      <c r="BJ79" s="194"/>
      <c r="BK79" s="194"/>
      <c r="BL79" s="194"/>
      <c r="BM79" s="194"/>
    </row>
    <row r="80" spans="12:65" ht="12.75">
      <c r="L80" s="181">
        <v>16</v>
      </c>
      <c r="BG80" s="194"/>
      <c r="BH80" s="194"/>
      <c r="BI80" s="194"/>
      <c r="BJ80" s="194"/>
      <c r="BK80" s="194"/>
      <c r="BL80" s="194"/>
      <c r="BM80" s="194"/>
    </row>
    <row r="81" spans="12:65" ht="12.75">
      <c r="L81" s="181">
        <v>17</v>
      </c>
      <c r="BG81" s="194"/>
      <c r="BH81" s="194"/>
      <c r="BI81" s="194"/>
      <c r="BJ81" s="194"/>
      <c r="BK81" s="194"/>
      <c r="BL81" s="194"/>
      <c r="BM81" s="194"/>
    </row>
    <row r="82" spans="12:65" ht="12.75">
      <c r="L82" s="181">
        <v>18</v>
      </c>
      <c r="BG82" s="194"/>
      <c r="BH82" s="194"/>
      <c r="BI82" s="194"/>
      <c r="BJ82" s="194"/>
      <c r="BK82" s="194"/>
      <c r="BL82" s="194"/>
      <c r="BM82" s="194"/>
    </row>
    <row r="83" spans="12:65" ht="12.75">
      <c r="L83" s="181">
        <v>19</v>
      </c>
      <c r="BG83" s="194"/>
      <c r="BH83" s="194"/>
      <c r="BI83" s="194"/>
      <c r="BJ83" s="194"/>
      <c r="BK83" s="194"/>
      <c r="BL83" s="194"/>
      <c r="BM83" s="194"/>
    </row>
    <row r="84" spans="12:65" ht="12.75">
      <c r="L84" s="181">
        <v>20</v>
      </c>
      <c r="BG84" s="194"/>
      <c r="BH84" s="194"/>
      <c r="BI84" s="194"/>
      <c r="BJ84" s="194"/>
      <c r="BK84" s="194"/>
      <c r="BL84" s="194"/>
      <c r="BM84" s="194"/>
    </row>
    <row r="85" spans="12:65" ht="12.75">
      <c r="L85" s="181">
        <v>21</v>
      </c>
      <c r="BG85" s="194"/>
      <c r="BH85" s="194"/>
      <c r="BI85" s="194"/>
      <c r="BJ85" s="194"/>
      <c r="BK85" s="194"/>
      <c r="BL85" s="194"/>
      <c r="BM85" s="194"/>
    </row>
    <row r="86" spans="12:65" ht="12.75">
      <c r="L86" s="181">
        <v>22</v>
      </c>
      <c r="BG86" s="194"/>
      <c r="BH86" s="194"/>
      <c r="BI86" s="194"/>
      <c r="BJ86" s="194"/>
      <c r="BK86" s="194"/>
      <c r="BL86" s="194"/>
      <c r="BM86" s="194"/>
    </row>
    <row r="87" spans="12:65" ht="12.75">
      <c r="L87" s="181">
        <v>23</v>
      </c>
      <c r="BG87" s="194"/>
      <c r="BH87" s="194"/>
      <c r="BI87" s="194"/>
      <c r="BJ87" s="194"/>
      <c r="BK87" s="194"/>
      <c r="BL87" s="194"/>
      <c r="BM87" s="194"/>
    </row>
    <row r="88" spans="12:65" ht="12.75">
      <c r="L88" s="181">
        <v>24</v>
      </c>
      <c r="BG88" s="194"/>
      <c r="BH88" s="194"/>
      <c r="BI88" s="194"/>
      <c r="BJ88" s="194"/>
      <c r="BK88" s="194"/>
      <c r="BL88" s="194"/>
      <c r="BM88" s="194"/>
    </row>
    <row r="89" spans="12:65" ht="12.75">
      <c r="L89" s="181">
        <v>25</v>
      </c>
      <c r="BG89" s="194"/>
      <c r="BH89" s="194"/>
      <c r="BI89" s="194"/>
      <c r="BJ89" s="194"/>
      <c r="BK89" s="194"/>
      <c r="BL89" s="194"/>
      <c r="BM89" s="194"/>
    </row>
    <row r="90" spans="12:65" ht="12.75">
      <c r="L90" s="181">
        <v>26</v>
      </c>
      <c r="BG90" s="194"/>
      <c r="BH90" s="194"/>
      <c r="BI90" s="194"/>
      <c r="BJ90" s="194"/>
      <c r="BK90" s="194"/>
      <c r="BL90" s="194"/>
      <c r="BM90" s="194"/>
    </row>
    <row r="91" spans="12:65" ht="12.75">
      <c r="L91" s="181">
        <v>27</v>
      </c>
      <c r="BG91" s="194"/>
      <c r="BH91" s="194"/>
      <c r="BI91" s="194"/>
      <c r="BJ91" s="194"/>
      <c r="BK91" s="194"/>
      <c r="BL91" s="194"/>
      <c r="BM91" s="194"/>
    </row>
    <row r="92" spans="12:65" ht="12.75">
      <c r="L92" s="181">
        <v>28</v>
      </c>
      <c r="BG92" s="194"/>
      <c r="BH92" s="194"/>
      <c r="BI92" s="194"/>
      <c r="BJ92" s="194"/>
      <c r="BK92" s="194"/>
      <c r="BL92" s="194"/>
      <c r="BM92" s="194"/>
    </row>
    <row r="93" spans="12:65" ht="12.75">
      <c r="L93" s="181">
        <v>29</v>
      </c>
      <c r="BG93" s="194"/>
      <c r="BH93" s="194"/>
      <c r="BI93" s="194"/>
      <c r="BJ93" s="194"/>
      <c r="BK93" s="194"/>
      <c r="BL93" s="194"/>
      <c r="BM93" s="194"/>
    </row>
    <row r="94" spans="12:65" ht="12.75">
      <c r="L94" s="181">
        <v>30</v>
      </c>
      <c r="BG94" s="194"/>
      <c r="BH94" s="194"/>
      <c r="BI94" s="194"/>
      <c r="BJ94" s="194"/>
      <c r="BK94" s="194"/>
      <c r="BL94" s="194"/>
      <c r="BM94" s="194"/>
    </row>
    <row r="95" spans="12:65" ht="12.75">
      <c r="L95" s="181">
        <v>31</v>
      </c>
      <c r="BG95" s="194"/>
      <c r="BH95" s="194"/>
      <c r="BI95" s="194"/>
      <c r="BJ95" s="194"/>
      <c r="BK95" s="194"/>
      <c r="BL95" s="194"/>
      <c r="BM95" s="194"/>
    </row>
    <row r="96" spans="59:65" ht="12.75">
      <c r="BG96" s="194"/>
      <c r="BH96" s="194"/>
      <c r="BI96" s="194"/>
      <c r="BJ96" s="194"/>
      <c r="BK96" s="194"/>
      <c r="BL96" s="194"/>
      <c r="BM96" s="194"/>
    </row>
    <row r="97" spans="59:65" ht="12.75">
      <c r="BG97" s="194"/>
      <c r="BH97" s="194"/>
      <c r="BI97" s="194"/>
      <c r="BJ97" s="194"/>
      <c r="BK97" s="194"/>
      <c r="BL97" s="194"/>
      <c r="BM97" s="194"/>
    </row>
    <row r="98" spans="10:65" ht="12.75">
      <c r="J98" s="181" t="s">
        <v>297</v>
      </c>
      <c r="BG98" s="194"/>
      <c r="BH98" s="194"/>
      <c r="BI98" s="194"/>
      <c r="BJ98" s="194"/>
      <c r="BK98" s="194"/>
      <c r="BL98" s="194"/>
      <c r="BM98" s="194"/>
    </row>
    <row r="99" spans="10:70" ht="12.75">
      <c r="J99" s="181">
        <v>3</v>
      </c>
      <c r="M99" s="181" t="s">
        <v>296</v>
      </c>
      <c r="P99" s="181" t="s">
        <v>298</v>
      </c>
      <c r="S99" s="181" t="s">
        <v>299</v>
      </c>
      <c r="V99" s="181" t="s">
        <v>300</v>
      </c>
      <c r="Y99" s="181" t="s">
        <v>301</v>
      </c>
      <c r="AB99" s="442" t="s">
        <v>765</v>
      </c>
      <c r="AE99" s="181" t="s">
        <v>302</v>
      </c>
      <c r="AH99" s="181" t="s">
        <v>303</v>
      </c>
      <c r="AK99" s="181" t="s">
        <v>304</v>
      </c>
      <c r="AN99" s="181" t="s">
        <v>305</v>
      </c>
      <c r="AQ99" s="181" t="s">
        <v>306</v>
      </c>
      <c r="AT99" s="181" t="s">
        <v>307</v>
      </c>
      <c r="AW99" s="181" t="s">
        <v>308</v>
      </c>
      <c r="AZ99" s="181" t="s">
        <v>309</v>
      </c>
      <c r="BC99" s="181" t="s">
        <v>310</v>
      </c>
      <c r="BF99" s="181" t="s">
        <v>311</v>
      </c>
      <c r="BI99" s="181" t="s">
        <v>312</v>
      </c>
      <c r="BL99" s="181" t="s">
        <v>313</v>
      </c>
      <c r="BO99" s="181" t="s">
        <v>314</v>
      </c>
      <c r="BR99" s="181" t="s">
        <v>315</v>
      </c>
    </row>
    <row r="101" spans="13:71" ht="12.75">
      <c r="M101" s="385" t="s">
        <v>657</v>
      </c>
      <c r="N101" s="181" t="s">
        <v>316</v>
      </c>
      <c r="P101" s="385" t="s">
        <v>663</v>
      </c>
      <c r="Q101" s="181" t="s">
        <v>317</v>
      </c>
      <c r="S101" s="181" t="s">
        <v>485</v>
      </c>
      <c r="T101" s="181" t="s">
        <v>318</v>
      </c>
      <c r="V101" s="181" t="s">
        <v>490</v>
      </c>
      <c r="W101" s="181" t="s">
        <v>320</v>
      </c>
      <c r="Y101" s="181" t="s">
        <v>321</v>
      </c>
      <c r="Z101" s="181" t="s">
        <v>322</v>
      </c>
      <c r="AB101" s="385" t="s">
        <v>655</v>
      </c>
      <c r="AC101" s="181" t="s">
        <v>323</v>
      </c>
      <c r="AE101" s="181" t="s">
        <v>504</v>
      </c>
      <c r="AF101" s="385" t="s">
        <v>324</v>
      </c>
      <c r="AH101" s="181" t="s">
        <v>325</v>
      </c>
      <c r="AI101" s="181" t="s">
        <v>326</v>
      </c>
      <c r="AK101" s="442" t="s">
        <v>789</v>
      </c>
      <c r="AL101" s="442" t="s">
        <v>328</v>
      </c>
      <c r="AN101" s="442" t="s">
        <v>809</v>
      </c>
      <c r="AO101" s="442" t="s">
        <v>329</v>
      </c>
      <c r="AQ101" s="181" t="s">
        <v>348</v>
      </c>
      <c r="AR101" s="181" t="s">
        <v>331</v>
      </c>
      <c r="AT101" s="385" t="s">
        <v>443</v>
      </c>
      <c r="AU101" s="181" t="s">
        <v>332</v>
      </c>
      <c r="AW101" s="442" t="s">
        <v>747</v>
      </c>
      <c r="AX101" s="442" t="s">
        <v>352</v>
      </c>
      <c r="AZ101" s="181" t="s">
        <v>370</v>
      </c>
      <c r="BA101" s="181" t="s">
        <v>334</v>
      </c>
      <c r="BC101" s="385" t="s">
        <v>678</v>
      </c>
      <c r="BD101" s="181" t="s">
        <v>335</v>
      </c>
      <c r="BF101" s="385" t="s">
        <v>679</v>
      </c>
      <c r="BG101" s="181" t="s">
        <v>336</v>
      </c>
      <c r="BI101" s="442" t="s">
        <v>748</v>
      </c>
      <c r="BJ101" s="442" t="s">
        <v>752</v>
      </c>
      <c r="BL101" s="442" t="s">
        <v>749</v>
      </c>
      <c r="BM101" s="181" t="s">
        <v>337</v>
      </c>
      <c r="BO101" s="442" t="s">
        <v>804</v>
      </c>
      <c r="BP101" s="181" t="s">
        <v>338</v>
      </c>
      <c r="BR101" s="181" t="s">
        <v>760</v>
      </c>
      <c r="BS101" s="181" t="s">
        <v>339</v>
      </c>
    </row>
    <row r="102" spans="13:71" ht="12.75">
      <c r="M102" s="385" t="s">
        <v>658</v>
      </c>
      <c r="N102" s="181" t="s">
        <v>500</v>
      </c>
      <c r="P102" s="385" t="s">
        <v>664</v>
      </c>
      <c r="Q102" s="181" t="s">
        <v>340</v>
      </c>
      <c r="S102" s="385" t="s">
        <v>690</v>
      </c>
      <c r="T102" s="181" t="s">
        <v>341</v>
      </c>
      <c r="V102" s="181" t="s">
        <v>482</v>
      </c>
      <c r="W102" s="181" t="s">
        <v>342</v>
      </c>
      <c r="Y102" s="181" t="s">
        <v>483</v>
      </c>
      <c r="Z102" s="385" t="s">
        <v>700</v>
      </c>
      <c r="AB102" s="385" t="s">
        <v>656</v>
      </c>
      <c r="AC102" s="442" t="s">
        <v>740</v>
      </c>
      <c r="AE102" s="181" t="s">
        <v>402</v>
      </c>
      <c r="AF102" s="181" t="s">
        <v>343</v>
      </c>
      <c r="AH102" s="181" t="s">
        <v>376</v>
      </c>
      <c r="AI102" s="181" t="s">
        <v>344</v>
      </c>
      <c r="AK102" s="442" t="s">
        <v>790</v>
      </c>
      <c r="AL102" s="181" t="s">
        <v>346</v>
      </c>
      <c r="AN102" s="442" t="s">
        <v>707</v>
      </c>
      <c r="AO102" s="442" t="s">
        <v>347</v>
      </c>
      <c r="AQ102" s="181" t="s">
        <v>330</v>
      </c>
      <c r="AR102" s="181" t="s">
        <v>349</v>
      </c>
      <c r="AT102" s="181" t="s">
        <v>477</v>
      </c>
      <c r="AU102" s="181" t="s">
        <v>350</v>
      </c>
      <c r="AW102" s="442" t="s">
        <v>351</v>
      </c>
      <c r="AX102" s="442" t="s">
        <v>369</v>
      </c>
      <c r="AZ102" s="181" t="s">
        <v>353</v>
      </c>
      <c r="BA102" s="181" t="s">
        <v>354</v>
      </c>
      <c r="BC102" s="385" t="s">
        <v>704</v>
      </c>
      <c r="BD102" s="181" t="s">
        <v>356</v>
      </c>
      <c r="BF102" s="442" t="s">
        <v>797</v>
      </c>
      <c r="BG102" s="181" t="s">
        <v>357</v>
      </c>
      <c r="BH102" s="194"/>
      <c r="BI102" s="442" t="s">
        <v>748</v>
      </c>
      <c r="BJ102" s="442" t="s">
        <v>752</v>
      </c>
      <c r="BL102" s="385" t="s">
        <v>682</v>
      </c>
      <c r="BM102" s="181" t="s">
        <v>358</v>
      </c>
      <c r="BO102" s="181" t="s">
        <v>152</v>
      </c>
      <c r="BP102" s="181" t="s">
        <v>360</v>
      </c>
      <c r="BR102" s="181" t="s">
        <v>760</v>
      </c>
      <c r="BS102" s="181" t="s">
        <v>339</v>
      </c>
    </row>
    <row r="103" spans="13:71" ht="12.75">
      <c r="M103" s="385" t="s">
        <v>659</v>
      </c>
      <c r="N103" s="181" t="s">
        <v>501</v>
      </c>
      <c r="P103" s="385" t="s">
        <v>684</v>
      </c>
      <c r="Q103" s="181" t="s">
        <v>425</v>
      </c>
      <c r="S103" s="385" t="s">
        <v>486</v>
      </c>
      <c r="T103" s="385" t="s">
        <v>693</v>
      </c>
      <c r="V103" s="181" t="s">
        <v>747</v>
      </c>
      <c r="W103" s="181" t="s">
        <v>754</v>
      </c>
      <c r="Y103" s="385" t="s">
        <v>711</v>
      </c>
      <c r="Z103" s="385" t="s">
        <v>701</v>
      </c>
      <c r="AB103" s="385" t="s">
        <v>677</v>
      </c>
      <c r="AC103" s="442" t="s">
        <v>741</v>
      </c>
      <c r="AE103" s="181" t="s">
        <v>505</v>
      </c>
      <c r="AF103" s="181" t="s">
        <v>364</v>
      </c>
      <c r="AH103" s="181" t="s">
        <v>389</v>
      </c>
      <c r="AI103" s="181" t="s">
        <v>365</v>
      </c>
      <c r="AK103" s="442" t="s">
        <v>791</v>
      </c>
      <c r="AL103" s="181" t="s">
        <v>366</v>
      </c>
      <c r="AN103" s="442" t="s">
        <v>792</v>
      </c>
      <c r="AO103" s="442" t="s">
        <v>367</v>
      </c>
      <c r="AQ103" s="572" t="s">
        <v>817</v>
      </c>
      <c r="AR103" s="572" t="s">
        <v>368</v>
      </c>
      <c r="AS103" s="572"/>
      <c r="AT103" s="572" t="s">
        <v>817</v>
      </c>
      <c r="AU103" s="572" t="s">
        <v>381</v>
      </c>
      <c r="AW103" s="181" t="s">
        <v>511</v>
      </c>
      <c r="AX103" s="442" t="s">
        <v>369</v>
      </c>
      <c r="AZ103" s="181" t="s">
        <v>803</v>
      </c>
      <c r="BA103" s="181" t="s">
        <v>371</v>
      </c>
      <c r="BC103" s="181" t="s">
        <v>355</v>
      </c>
      <c r="BD103" s="181" t="s">
        <v>513</v>
      </c>
      <c r="BF103" s="385" t="s">
        <v>680</v>
      </c>
      <c r="BG103" s="181" t="s">
        <v>372</v>
      </c>
      <c r="BH103" s="194"/>
      <c r="BI103" s="181" t="s">
        <v>715</v>
      </c>
      <c r="BJ103" s="442" t="s">
        <v>716</v>
      </c>
      <c r="BK103" s="194"/>
      <c r="BL103" s="181" t="s">
        <v>481</v>
      </c>
      <c r="BM103" s="181" t="s">
        <v>373</v>
      </c>
      <c r="BO103" s="181" t="s">
        <v>359</v>
      </c>
      <c r="BP103" s="181" t="s">
        <v>374</v>
      </c>
      <c r="BR103" s="442" t="s">
        <v>750</v>
      </c>
      <c r="BS103" s="442" t="s">
        <v>761</v>
      </c>
    </row>
    <row r="104" spans="13:71" ht="12.75">
      <c r="M104" s="385" t="s">
        <v>660</v>
      </c>
      <c r="N104" s="181" t="s">
        <v>474</v>
      </c>
      <c r="P104" s="385" t="s">
        <v>665</v>
      </c>
      <c r="Q104" s="181" t="s">
        <v>361</v>
      </c>
      <c r="S104" s="385" t="s">
        <v>668</v>
      </c>
      <c r="T104" s="385" t="s">
        <v>692</v>
      </c>
      <c r="V104" s="385" t="s">
        <v>671</v>
      </c>
      <c r="W104" s="181" t="s">
        <v>476</v>
      </c>
      <c r="Y104" s="181" t="s">
        <v>362</v>
      </c>
      <c r="Z104" s="385" t="s">
        <v>702</v>
      </c>
      <c r="AB104" s="385" t="s">
        <v>704</v>
      </c>
      <c r="AC104" s="442" t="s">
        <v>742</v>
      </c>
      <c r="AE104" s="181" t="s">
        <v>506</v>
      </c>
      <c r="AF104" s="181" t="s">
        <v>398</v>
      </c>
      <c r="AH104" s="572" t="s">
        <v>817</v>
      </c>
      <c r="AI104" s="572" t="s">
        <v>377</v>
      </c>
      <c r="AJ104" s="573"/>
      <c r="AK104" s="181" t="s">
        <v>157</v>
      </c>
      <c r="AL104" s="181" t="s">
        <v>379</v>
      </c>
      <c r="AN104" s="442" t="s">
        <v>793</v>
      </c>
      <c r="AO104" s="442" t="s">
        <v>380</v>
      </c>
      <c r="AW104" s="385" t="s">
        <v>683</v>
      </c>
      <c r="AX104" s="442" t="s">
        <v>382</v>
      </c>
      <c r="AZ104" s="572" t="s">
        <v>817</v>
      </c>
      <c r="BA104" s="572" t="s">
        <v>383</v>
      </c>
      <c r="BC104" s="572" t="s">
        <v>817</v>
      </c>
      <c r="BD104" s="572" t="s">
        <v>384</v>
      </c>
      <c r="BF104" s="572" t="s">
        <v>817</v>
      </c>
      <c r="BG104" s="572" t="s">
        <v>394</v>
      </c>
      <c r="BI104" s="181" t="s">
        <v>480</v>
      </c>
      <c r="BJ104" s="442" t="s">
        <v>717</v>
      </c>
      <c r="BK104" s="194"/>
      <c r="BL104" s="572" t="s">
        <v>816</v>
      </c>
      <c r="BM104" s="572" t="s">
        <v>385</v>
      </c>
      <c r="BO104" s="572" t="s">
        <v>816</v>
      </c>
      <c r="BP104" s="572" t="s">
        <v>386</v>
      </c>
      <c r="BQ104" s="288"/>
      <c r="BR104" s="181" t="s">
        <v>514</v>
      </c>
      <c r="BS104" s="181" t="s">
        <v>762</v>
      </c>
    </row>
    <row r="105" spans="10:71" ht="12.75">
      <c r="J105" s="398"/>
      <c r="K105" s="398"/>
      <c r="L105" s="398"/>
      <c r="M105" s="385" t="s">
        <v>661</v>
      </c>
      <c r="N105" s="385" t="s">
        <v>396</v>
      </c>
      <c r="P105" s="385" t="s">
        <v>666</v>
      </c>
      <c r="Q105" s="181" t="s">
        <v>375</v>
      </c>
      <c r="S105" s="385" t="s">
        <v>690</v>
      </c>
      <c r="T105" s="385" t="s">
        <v>694</v>
      </c>
      <c r="V105" s="385" t="s">
        <v>670</v>
      </c>
      <c r="W105" s="181" t="s">
        <v>503</v>
      </c>
      <c r="Y105" s="572" t="s">
        <v>816</v>
      </c>
      <c r="Z105" s="572" t="s">
        <v>703</v>
      </c>
      <c r="AA105" s="573"/>
      <c r="AB105" s="572" t="s">
        <v>816</v>
      </c>
      <c r="AC105" s="572" t="s">
        <v>743</v>
      </c>
      <c r="AD105" s="573"/>
      <c r="AE105" s="181" t="s">
        <v>507</v>
      </c>
      <c r="AF105" s="181" t="s">
        <v>508</v>
      </c>
      <c r="AK105" s="181" t="s">
        <v>327</v>
      </c>
      <c r="AL105" s="181" t="s">
        <v>391</v>
      </c>
      <c r="AN105" s="442" t="s">
        <v>794</v>
      </c>
      <c r="AO105" s="442" t="s">
        <v>795</v>
      </c>
      <c r="AW105" s="181" t="s">
        <v>759</v>
      </c>
      <c r="AX105" s="181" t="s">
        <v>393</v>
      </c>
      <c r="BE105" s="288"/>
      <c r="BI105" s="385" t="s">
        <v>681</v>
      </c>
      <c r="BJ105" s="442" t="s">
        <v>753</v>
      </c>
      <c r="BR105" s="181" t="s">
        <v>515</v>
      </c>
      <c r="BS105" s="442" t="s">
        <v>387</v>
      </c>
    </row>
    <row r="106" spans="13:72" ht="12.75">
      <c r="M106" s="572" t="s">
        <v>815</v>
      </c>
      <c r="N106" s="572" t="s">
        <v>662</v>
      </c>
      <c r="P106" s="385" t="s">
        <v>667</v>
      </c>
      <c r="Q106" s="385" t="s">
        <v>388</v>
      </c>
      <c r="S106" s="181" t="s">
        <v>487</v>
      </c>
      <c r="T106" s="385" t="s">
        <v>695</v>
      </c>
      <c r="V106" s="181" t="s">
        <v>319</v>
      </c>
      <c r="W106" s="385" t="s">
        <v>673</v>
      </c>
      <c r="AE106" s="181" t="s">
        <v>363</v>
      </c>
      <c r="AF106" s="181" t="s">
        <v>508</v>
      </c>
      <c r="AK106" s="181" t="s">
        <v>345</v>
      </c>
      <c r="AL106" s="181" t="s">
        <v>399</v>
      </c>
      <c r="AN106" s="442" t="s">
        <v>755</v>
      </c>
      <c r="AO106" s="442" t="s">
        <v>796</v>
      </c>
      <c r="AW106" s="181" t="s">
        <v>479</v>
      </c>
      <c r="AX106" s="181" t="s">
        <v>400</v>
      </c>
      <c r="BG106" s="288"/>
      <c r="BI106" s="181" t="s">
        <v>499</v>
      </c>
      <c r="BJ106" s="442" t="s">
        <v>395</v>
      </c>
      <c r="BR106" s="572" t="s">
        <v>816</v>
      </c>
      <c r="BS106" s="572" t="s">
        <v>751</v>
      </c>
      <c r="BT106" s="288"/>
    </row>
    <row r="107" spans="16:62" ht="12.75">
      <c r="P107" s="572" t="s">
        <v>816</v>
      </c>
      <c r="Q107" s="572" t="s">
        <v>689</v>
      </c>
      <c r="S107" s="385" t="s">
        <v>669</v>
      </c>
      <c r="T107" s="385" t="s">
        <v>502</v>
      </c>
      <c r="V107" s="442" t="s">
        <v>744</v>
      </c>
      <c r="W107" s="442" t="s">
        <v>674</v>
      </c>
      <c r="AC107" s="288"/>
      <c r="AD107" s="288"/>
      <c r="AE107" s="181" t="s">
        <v>397</v>
      </c>
      <c r="AF107" s="181" t="s">
        <v>508</v>
      </c>
      <c r="AK107" s="181" t="s">
        <v>390</v>
      </c>
      <c r="AL107" s="181" t="s">
        <v>404</v>
      </c>
      <c r="AN107" s="442" t="s">
        <v>757</v>
      </c>
      <c r="AO107" s="442" t="s">
        <v>758</v>
      </c>
      <c r="AW107" s="181" t="s">
        <v>392</v>
      </c>
      <c r="AX107" s="181" t="s">
        <v>405</v>
      </c>
      <c r="BI107" s="572" t="s">
        <v>817</v>
      </c>
      <c r="BJ107" s="572" t="s">
        <v>401</v>
      </c>
    </row>
    <row r="108" spans="19:50" ht="12.75">
      <c r="S108" s="385" t="s">
        <v>708</v>
      </c>
      <c r="T108" s="385" t="s">
        <v>475</v>
      </c>
      <c r="V108" s="181" t="s">
        <v>755</v>
      </c>
      <c r="W108" s="181" t="s">
        <v>675</v>
      </c>
      <c r="AE108" s="181" t="s">
        <v>509</v>
      </c>
      <c r="AF108" s="181" t="s">
        <v>406</v>
      </c>
      <c r="AK108" s="181" t="s">
        <v>378</v>
      </c>
      <c r="AL108" s="181" t="s">
        <v>819</v>
      </c>
      <c r="AN108" s="572" t="s">
        <v>816</v>
      </c>
      <c r="AO108" s="572" t="s">
        <v>712</v>
      </c>
      <c r="AW108" s="181" t="s">
        <v>478</v>
      </c>
      <c r="AX108" s="181" t="s">
        <v>512</v>
      </c>
    </row>
    <row r="109" spans="19:50" ht="12.75">
      <c r="S109" s="181" t="s">
        <v>488</v>
      </c>
      <c r="T109" s="385" t="s">
        <v>696</v>
      </c>
      <c r="V109" s="385" t="s">
        <v>484</v>
      </c>
      <c r="W109" s="442" t="s">
        <v>676</v>
      </c>
      <c r="AE109" s="572" t="s">
        <v>817</v>
      </c>
      <c r="AF109" s="572" t="s">
        <v>403</v>
      </c>
      <c r="AG109" s="572"/>
      <c r="AH109" s="573"/>
      <c r="AK109" s="181" t="s">
        <v>42</v>
      </c>
      <c r="AL109" s="181" t="s">
        <v>408</v>
      </c>
      <c r="AW109" s="442" t="s">
        <v>333</v>
      </c>
      <c r="AX109" s="181" t="s">
        <v>407</v>
      </c>
    </row>
    <row r="110" spans="10:50" ht="12.75">
      <c r="J110" s="288"/>
      <c r="M110" s="288"/>
      <c r="N110" s="288"/>
      <c r="O110" s="288"/>
      <c r="S110" s="385" t="s">
        <v>709</v>
      </c>
      <c r="T110" s="181" t="s">
        <v>410</v>
      </c>
      <c r="V110" s="385" t="s">
        <v>672</v>
      </c>
      <c r="W110" s="442" t="s">
        <v>745</v>
      </c>
      <c r="AK110" s="181" t="s">
        <v>510</v>
      </c>
      <c r="AL110" s="181" t="s">
        <v>811</v>
      </c>
      <c r="AW110" s="398" t="s">
        <v>818</v>
      </c>
      <c r="AX110" s="572" t="s">
        <v>409</v>
      </c>
    </row>
    <row r="111" spans="19:38" ht="12.75">
      <c r="S111" s="385" t="s">
        <v>710</v>
      </c>
      <c r="T111" s="385" t="s">
        <v>697</v>
      </c>
      <c r="V111" s="572" t="s">
        <v>816</v>
      </c>
      <c r="W111" s="572" t="s">
        <v>756</v>
      </c>
      <c r="X111" s="573"/>
      <c r="AK111" s="181" t="s">
        <v>671</v>
      </c>
      <c r="AL111" s="181" t="s">
        <v>812</v>
      </c>
    </row>
    <row r="112" spans="19:40" ht="12.75">
      <c r="S112" s="385" t="s">
        <v>691</v>
      </c>
      <c r="T112" s="385" t="s">
        <v>698</v>
      </c>
      <c r="AK112" s="572" t="s">
        <v>817</v>
      </c>
      <c r="AL112" s="442" t="s">
        <v>820</v>
      </c>
      <c r="AN112" s="442"/>
    </row>
    <row r="113" spans="19:38" ht="12.75">
      <c r="S113" s="181" t="s">
        <v>489</v>
      </c>
      <c r="T113" s="398" t="s">
        <v>699</v>
      </c>
      <c r="AK113" s="572"/>
      <c r="AL113" s="442"/>
    </row>
    <row r="114" spans="19:22" ht="12.75">
      <c r="S114" s="572" t="s">
        <v>816</v>
      </c>
      <c r="T114" s="573"/>
      <c r="U114" s="572"/>
      <c r="V114" s="288"/>
    </row>
    <row r="115" ht="12.75">
      <c r="T115" s="288"/>
    </row>
  </sheetData>
  <sheetProtection password="860F" sheet="1" selectLockedCells="1"/>
  <printOptions horizontalCentered="1" verticalCentered="1"/>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H5" sqref="H5"/>
    </sheetView>
  </sheetViews>
  <sheetFormatPr defaultColWidth="9.140625" defaultRowHeight="12.75"/>
  <cols>
    <col min="1" max="1" width="3.57421875" style="29" customWidth="1"/>
    <col min="2" max="2" width="38.8515625" style="29" bestFit="1" customWidth="1"/>
    <col min="3" max="4" width="16.8515625" style="29" customWidth="1"/>
    <col min="5" max="6" width="14.7109375" style="29" customWidth="1"/>
    <col min="7" max="7" width="19.140625" style="29" customWidth="1"/>
    <col min="8" max="16384" width="9.140625" style="29" customWidth="1"/>
  </cols>
  <sheetData>
    <row r="1" spans="1:10" s="18" customFormat="1" ht="15.75">
      <c r="A1" s="13" t="str">
        <f>clWBTitle</f>
        <v>Nonpublic Special Education School Budget for FY 2024</v>
      </c>
      <c r="B1" s="13"/>
      <c r="C1" s="14"/>
      <c r="D1" s="15"/>
      <c r="E1" s="430" t="s">
        <v>713</v>
      </c>
      <c r="F1" s="16" t="s">
        <v>138</v>
      </c>
      <c r="G1" s="17"/>
      <c r="I1" s="17"/>
      <c r="J1" s="17"/>
    </row>
    <row r="2" spans="1:6" s="23" customFormat="1" ht="15" customHeight="1">
      <c r="A2" s="19" t="str">
        <f>"School"&amp;CHAR(151)&amp;clSchoolName</f>
        <v>School—</v>
      </c>
      <c r="B2" s="13"/>
      <c r="C2" s="20"/>
      <c r="D2" s="21"/>
      <c r="E2" s="22"/>
      <c r="F2" s="22"/>
    </row>
    <row r="3" spans="1:6" s="23" customFormat="1" ht="15" customHeight="1" thickBot="1">
      <c r="A3" s="19" t="str">
        <f>"Program"&amp;CHAR(151)&amp;clProgramName</f>
        <v>Program—</v>
      </c>
      <c r="B3" s="13"/>
      <c r="C3" s="24"/>
      <c r="D3" s="25"/>
      <c r="E3" s="22"/>
      <c r="F3" s="22"/>
    </row>
    <row r="4" spans="1:6" ht="32.25" customHeight="1" thickBot="1">
      <c r="A4" s="26" t="s">
        <v>19</v>
      </c>
      <c r="B4" s="27"/>
      <c r="C4" s="765" t="s">
        <v>813</v>
      </c>
      <c r="D4" s="765"/>
      <c r="E4" s="577" t="str">
        <f>IF(D6=0," ",SUM(D7:D8)/D6)</f>
        <v> </v>
      </c>
      <c r="F4" s="28"/>
    </row>
    <row r="5" spans="1:7" ht="33" customHeight="1" thickBot="1">
      <c r="A5" s="30" t="s">
        <v>1</v>
      </c>
      <c r="B5" s="31"/>
      <c r="C5" s="32" t="s">
        <v>825</v>
      </c>
      <c r="D5" s="32" t="str">
        <f>"Proposed Budget FY "&amp;clFiscalYear</f>
        <v>Proposed Budget FY 2024</v>
      </c>
      <c r="E5" s="32" t="s">
        <v>2</v>
      </c>
      <c r="F5" s="371" t="s">
        <v>3</v>
      </c>
      <c r="G5" s="33" t="s">
        <v>826</v>
      </c>
    </row>
    <row r="6" spans="1:7" ht="18.75" customHeight="1" thickBot="1">
      <c r="A6" s="227"/>
      <c r="B6" s="545" t="s">
        <v>808</v>
      </c>
      <c r="C6" s="51">
        <f>'Form 5A'!D9</f>
        <v>0</v>
      </c>
      <c r="D6" s="51">
        <f>clTotDirSalary</f>
        <v>0</v>
      </c>
      <c r="E6" s="51">
        <f>D6-C6</f>
        <v>0</v>
      </c>
      <c r="F6" s="372" t="str">
        <f>(IF(C6=0,"n/a",E6/C6))</f>
        <v>n/a</v>
      </c>
      <c r="G6" s="568">
        <f>'Form 5B'!C11</f>
        <v>0</v>
      </c>
    </row>
    <row r="7" spans="1:7" ht="18.75" customHeight="1">
      <c r="A7" s="219" t="s">
        <v>281</v>
      </c>
      <c r="B7" s="226" t="s">
        <v>459</v>
      </c>
      <c r="C7" s="38">
        <f>'Form 5A'!D14</f>
        <v>0</v>
      </c>
      <c r="D7" s="38">
        <f>clTotDirFringe</f>
        <v>0</v>
      </c>
      <c r="E7" s="38">
        <f>D7-C7</f>
        <v>0</v>
      </c>
      <c r="F7" s="373" t="str">
        <f>(IF(C7=0,"n/a",E7/C7))</f>
        <v>n/a</v>
      </c>
      <c r="G7" s="382">
        <f>'Form 5B'!C17</f>
        <v>0</v>
      </c>
    </row>
    <row r="8" spans="1:7" ht="18.75" customHeight="1">
      <c r="A8" s="35" t="s">
        <v>282</v>
      </c>
      <c r="B8" s="36" t="s">
        <v>145</v>
      </c>
      <c r="C8" s="38">
        <f>'Form 5A'!D15</f>
        <v>0</v>
      </c>
      <c r="D8" s="37">
        <f>clTotDirTaxes</f>
        <v>0</v>
      </c>
      <c r="E8" s="38">
        <f aca="true" t="shared" si="0" ref="E8:E20">D8-C8</f>
        <v>0</v>
      </c>
      <c r="F8" s="373" t="str">
        <f aca="true" t="shared" si="1" ref="F8:F20">(IF(C8=0,"n/a",E8/C8))</f>
        <v>n/a</v>
      </c>
      <c r="G8" s="382">
        <f>'Form 5B'!C18</f>
        <v>0</v>
      </c>
    </row>
    <row r="9" spans="1:7" ht="18.75" customHeight="1">
      <c r="A9" s="35" t="s">
        <v>283</v>
      </c>
      <c r="B9" s="544" t="s">
        <v>806</v>
      </c>
      <c r="C9" s="38">
        <f>'Form 5A'!D16</f>
        <v>0</v>
      </c>
      <c r="D9" s="37">
        <f>clTotDirFees</f>
        <v>0</v>
      </c>
      <c r="E9" s="38">
        <f t="shared" si="0"/>
        <v>0</v>
      </c>
      <c r="F9" s="373" t="str">
        <f t="shared" si="1"/>
        <v>n/a</v>
      </c>
      <c r="G9" s="382">
        <f>'Form 5B'!C19</f>
        <v>0</v>
      </c>
    </row>
    <row r="10" spans="1:7" ht="18.75" customHeight="1">
      <c r="A10" s="35" t="s">
        <v>284</v>
      </c>
      <c r="B10" s="36" t="s">
        <v>147</v>
      </c>
      <c r="C10" s="38">
        <f>'Form 5A'!D17</f>
        <v>0</v>
      </c>
      <c r="D10" s="37">
        <f>clTotDirSupplies</f>
        <v>0</v>
      </c>
      <c r="E10" s="38">
        <f t="shared" si="0"/>
        <v>0</v>
      </c>
      <c r="F10" s="373" t="str">
        <f t="shared" si="1"/>
        <v>n/a</v>
      </c>
      <c r="G10" s="382">
        <f>'Form 5B'!C20</f>
        <v>0</v>
      </c>
    </row>
    <row r="11" spans="1:7" ht="18.75" customHeight="1">
      <c r="A11" s="35" t="s">
        <v>285</v>
      </c>
      <c r="B11" s="36" t="s">
        <v>148</v>
      </c>
      <c r="C11" s="38">
        <f>'Form 5A'!D18</f>
        <v>0</v>
      </c>
      <c r="D11" s="37">
        <f>clTotDirPhone</f>
        <v>0</v>
      </c>
      <c r="E11" s="38">
        <f t="shared" si="0"/>
        <v>0</v>
      </c>
      <c r="F11" s="373" t="str">
        <f t="shared" si="1"/>
        <v>n/a</v>
      </c>
      <c r="G11" s="382">
        <f>'Form 5B'!C21</f>
        <v>0</v>
      </c>
    </row>
    <row r="12" spans="1:7" ht="18.75" customHeight="1">
      <c r="A12" s="35" t="s">
        <v>286</v>
      </c>
      <c r="B12" s="36" t="s">
        <v>149</v>
      </c>
      <c r="C12" s="38">
        <f>'Form 5A'!D19</f>
        <v>0</v>
      </c>
      <c r="D12" s="37">
        <f>clTotDirPostage</f>
        <v>0</v>
      </c>
      <c r="E12" s="38">
        <f t="shared" si="0"/>
        <v>0</v>
      </c>
      <c r="F12" s="373" t="str">
        <f t="shared" si="1"/>
        <v>n/a</v>
      </c>
      <c r="G12" s="382">
        <f>'Form 5B'!C22</f>
        <v>0</v>
      </c>
    </row>
    <row r="13" spans="1:7" ht="18.75" customHeight="1">
      <c r="A13" s="35" t="s">
        <v>287</v>
      </c>
      <c r="B13" s="36" t="s">
        <v>150</v>
      </c>
      <c r="C13" s="38">
        <f>'Form 5A'!D20</f>
        <v>0</v>
      </c>
      <c r="D13" s="37">
        <f>clTotDirOccup</f>
        <v>0</v>
      </c>
      <c r="E13" s="38">
        <f t="shared" si="0"/>
        <v>0</v>
      </c>
      <c r="F13" s="373" t="str">
        <f t="shared" si="1"/>
        <v>n/a</v>
      </c>
      <c r="G13" s="382">
        <f>'Form 5B'!C23</f>
        <v>0</v>
      </c>
    </row>
    <row r="14" spans="1:7" ht="18.75" customHeight="1">
      <c r="A14" s="35" t="s">
        <v>288</v>
      </c>
      <c r="B14" s="36" t="s">
        <v>460</v>
      </c>
      <c r="C14" s="38">
        <f>'Form 5A'!D21</f>
        <v>0</v>
      </c>
      <c r="D14" s="37">
        <f>clTotDirMaint</f>
        <v>0</v>
      </c>
      <c r="E14" s="38">
        <f t="shared" si="0"/>
        <v>0</v>
      </c>
      <c r="F14" s="373" t="str">
        <f t="shared" si="1"/>
        <v>n/a</v>
      </c>
      <c r="G14" s="382">
        <f>'Form 5B'!C24</f>
        <v>0</v>
      </c>
    </row>
    <row r="15" spans="1:7" ht="18.75" customHeight="1">
      <c r="A15" s="35" t="s">
        <v>20</v>
      </c>
      <c r="B15" s="36" t="s">
        <v>464</v>
      </c>
      <c r="C15" s="38">
        <f>'Form 5A'!D22</f>
        <v>0</v>
      </c>
      <c r="D15" s="37">
        <f>clTotDirPrint</f>
        <v>0</v>
      </c>
      <c r="E15" s="38">
        <f t="shared" si="0"/>
        <v>0</v>
      </c>
      <c r="F15" s="373" t="str">
        <f t="shared" si="1"/>
        <v>n/a</v>
      </c>
      <c r="G15" s="382">
        <f>'Form 5B'!C25</f>
        <v>0</v>
      </c>
    </row>
    <row r="16" spans="1:7" ht="18.75" customHeight="1">
      <c r="A16" s="35" t="s">
        <v>289</v>
      </c>
      <c r="B16" s="36" t="s">
        <v>247</v>
      </c>
      <c r="C16" s="38">
        <f>'Form 5A'!D23</f>
        <v>0</v>
      </c>
      <c r="D16" s="37">
        <f>clTotDirPubs</f>
        <v>0</v>
      </c>
      <c r="E16" s="38">
        <f t="shared" si="0"/>
        <v>0</v>
      </c>
      <c r="F16" s="373" t="str">
        <f t="shared" si="1"/>
        <v>n/a</v>
      </c>
      <c r="G16" s="382">
        <f>'Form 5B'!C26</f>
        <v>0</v>
      </c>
    </row>
    <row r="17" spans="1:7" ht="18.75" customHeight="1">
      <c r="A17" s="35" t="s">
        <v>290</v>
      </c>
      <c r="B17" s="36" t="s">
        <v>151</v>
      </c>
      <c r="C17" s="38">
        <f>'Form 5A'!D24</f>
        <v>0</v>
      </c>
      <c r="D17" s="37">
        <f>clTotDirTrans</f>
        <v>0</v>
      </c>
      <c r="E17" s="38">
        <f t="shared" si="0"/>
        <v>0</v>
      </c>
      <c r="F17" s="373" t="str">
        <f t="shared" si="1"/>
        <v>n/a</v>
      </c>
      <c r="G17" s="382">
        <f>'Form 5B'!C27</f>
        <v>0</v>
      </c>
    </row>
    <row r="18" spans="1:7" ht="18.75" customHeight="1">
      <c r="A18" s="35" t="s">
        <v>291</v>
      </c>
      <c r="B18" s="36" t="s">
        <v>461</v>
      </c>
      <c r="C18" s="38">
        <f>'Form 5A'!D25</f>
        <v>0</v>
      </c>
      <c r="D18" s="37">
        <f>clTotDirMeetings</f>
        <v>0</v>
      </c>
      <c r="E18" s="38">
        <f t="shared" si="0"/>
        <v>0</v>
      </c>
      <c r="F18" s="373" t="str">
        <f t="shared" si="1"/>
        <v>n/a</v>
      </c>
      <c r="G18" s="382">
        <f>'Form 5B'!C28</f>
        <v>0</v>
      </c>
    </row>
    <row r="19" spans="1:7" ht="18.75" customHeight="1">
      <c r="A19" s="35" t="s">
        <v>292</v>
      </c>
      <c r="B19" s="36" t="s">
        <v>462</v>
      </c>
      <c r="C19" s="38">
        <f>'Form 5A'!D26</f>
        <v>0</v>
      </c>
      <c r="D19" s="37">
        <f>clTotDirDues</f>
        <v>0</v>
      </c>
      <c r="E19" s="38">
        <f t="shared" si="0"/>
        <v>0</v>
      </c>
      <c r="F19" s="373" t="str">
        <f t="shared" si="1"/>
        <v>n/a</v>
      </c>
      <c r="G19" s="382">
        <f>'Form 5B'!C29</f>
        <v>0</v>
      </c>
    </row>
    <row r="20" spans="1:7" ht="18.75" customHeight="1" thickBot="1">
      <c r="A20" s="35" t="s">
        <v>293</v>
      </c>
      <c r="B20" s="36" t="s">
        <v>153</v>
      </c>
      <c r="C20" s="38">
        <f>'Form 5A'!D27</f>
        <v>0</v>
      </c>
      <c r="D20" s="37">
        <f>clTotDirDeprec</f>
        <v>0</v>
      </c>
      <c r="E20" s="38">
        <f t="shared" si="0"/>
        <v>0</v>
      </c>
      <c r="F20" s="373" t="str">
        <f t="shared" si="1"/>
        <v>n/a</v>
      </c>
      <c r="G20" s="383">
        <f>'Form 5B'!C30</f>
        <v>0</v>
      </c>
    </row>
    <row r="21" spans="1:7" ht="20.25" customHeight="1">
      <c r="A21" s="39" t="s">
        <v>4</v>
      </c>
      <c r="B21" s="40"/>
      <c r="C21" s="41">
        <f>SUM(C6:C20)</f>
        <v>0</v>
      </c>
      <c r="D21" s="41">
        <f>SUM(D6:D20)</f>
        <v>0</v>
      </c>
      <c r="E21" s="34">
        <f>D21-C21</f>
        <v>0</v>
      </c>
      <c r="F21" s="374" t="str">
        <f>(IF(C21=0,"n/a",E21/C21))</f>
        <v>n/a</v>
      </c>
      <c r="G21" s="377">
        <f>SUM(G6:G20)</f>
        <v>0</v>
      </c>
    </row>
    <row r="22" spans="1:7" ht="20.25" customHeight="1">
      <c r="A22" s="42" t="s">
        <v>154</v>
      </c>
      <c r="B22" s="43"/>
      <c r="C22" s="37">
        <f>clTotalIndPrev</f>
        <v>0</v>
      </c>
      <c r="D22" s="37">
        <f>clTotalIndProp</f>
        <v>0</v>
      </c>
      <c r="E22" s="37">
        <f>clTotalIndDollarVar</f>
        <v>0</v>
      </c>
      <c r="F22" s="375" t="str">
        <f>clTotalIndPercentVar</f>
        <v>n/a</v>
      </c>
      <c r="G22" s="378">
        <f>clTotalIndFinalExp</f>
        <v>0</v>
      </c>
    </row>
    <row r="23" spans="1:7" ht="20.25" customHeight="1" thickBot="1">
      <c r="A23" s="44" t="s">
        <v>5</v>
      </c>
      <c r="B23" s="45"/>
      <c r="C23" s="46">
        <f>SUM(C21:C22)</f>
        <v>0</v>
      </c>
      <c r="D23" s="46">
        <f>SUM(D21:D22)</f>
        <v>0</v>
      </c>
      <c r="E23" s="46">
        <f>D23-C23</f>
        <v>0</v>
      </c>
      <c r="F23" s="376" t="str">
        <f>(IF(C23=0,"n/a",E23/C23))</f>
        <v>n/a</v>
      </c>
      <c r="G23" s="379">
        <f>SUM(G21:G22)</f>
        <v>0</v>
      </c>
    </row>
    <row r="24" spans="1:7" ht="20.25" customHeight="1" thickBot="1">
      <c r="A24" s="763" t="s">
        <v>810</v>
      </c>
      <c r="B24" s="764"/>
      <c r="C24" s="258" t="str">
        <f>IF(C21=0,"n/a",C22/C21)</f>
        <v>n/a</v>
      </c>
      <c r="D24" s="258" t="str">
        <f>IF(D21=0,"n/a",D22/D21)</f>
        <v>n/a</v>
      </c>
      <c r="E24" s="257"/>
      <c r="F24" s="372" t="str">
        <f>IF(OR(C22=0,D22=0),"n/a",D24-C24)</f>
        <v>n/a</v>
      </c>
      <c r="G24" s="380"/>
    </row>
  </sheetData>
  <sheetProtection password="860F" sheet="1" selectLockedCells="1"/>
  <mergeCells count="2">
    <mergeCell ref="A24:B24"/>
    <mergeCell ref="C4:D4"/>
  </mergeCells>
  <printOptions horizontalCentered="1"/>
  <pageMargins left="0.25" right="0.25" top="0.75" bottom="0.75" header="0.3" footer="0.3"/>
  <pageSetup horizontalDpi="600" verticalDpi="600" orientation="landscape" scale="105" r:id="rId1"/>
  <headerFooter alignWithMargins="0">
    <oddFooter>&amp;LNSES Budget Template - Approved&amp;C01/2023&amp;R2A</oddFooter>
  </headerFooter>
  <ignoredErrors>
    <ignoredError sqref="E22:F22" formula="1"/>
  </ignoredErrors>
</worksheet>
</file>

<file path=xl/worksheets/sheet5.xml><?xml version="1.0" encoding="utf-8"?>
<worksheet xmlns="http://schemas.openxmlformats.org/spreadsheetml/2006/main" xmlns:r="http://schemas.openxmlformats.org/officeDocument/2006/relationships">
  <dimension ref="A1:J24"/>
  <sheetViews>
    <sheetView zoomScalePageLayoutView="0" workbookViewId="0" topLeftCell="A1">
      <selection activeCell="G5" sqref="G5"/>
    </sheetView>
  </sheetViews>
  <sheetFormatPr defaultColWidth="9.140625" defaultRowHeight="12.75"/>
  <cols>
    <col min="1" max="1" width="3.57421875" style="29" customWidth="1"/>
    <col min="2" max="2" width="41.421875" style="29" customWidth="1"/>
    <col min="3" max="4" width="16.8515625" style="29" customWidth="1"/>
    <col min="5" max="6" width="14.7109375" style="29" customWidth="1"/>
    <col min="7" max="7" width="18.28125" style="29" customWidth="1"/>
    <col min="8" max="16384" width="9.140625" style="29" customWidth="1"/>
  </cols>
  <sheetData>
    <row r="1" spans="1:10" s="18" customFormat="1" ht="15.75">
      <c r="A1" s="13" t="str">
        <f>clWBTitle</f>
        <v>Nonpublic Special Education School Budget for FY 2024</v>
      </c>
      <c r="B1" s="13"/>
      <c r="C1" s="14"/>
      <c r="D1" s="15"/>
      <c r="E1" s="430" t="s">
        <v>713</v>
      </c>
      <c r="F1" s="16" t="s">
        <v>255</v>
      </c>
      <c r="G1" s="17"/>
      <c r="I1" s="17"/>
      <c r="J1" s="17"/>
    </row>
    <row r="2" spans="1:6" s="23" customFormat="1" ht="15" customHeight="1">
      <c r="A2" s="19" t="str">
        <f>"School"&amp;CHAR(151)&amp;clSchoolName</f>
        <v>School—</v>
      </c>
      <c r="B2" s="13"/>
      <c r="C2" s="20"/>
      <c r="D2" s="21"/>
      <c r="E2" s="22"/>
      <c r="F2" s="22"/>
    </row>
    <row r="3" spans="1:6" s="23" customFormat="1" ht="15" customHeight="1">
      <c r="A3" s="19" t="str">
        <f>"Program"&amp;CHAR(151)&amp;clProgramName</f>
        <v>Program—</v>
      </c>
      <c r="B3" s="13"/>
      <c r="C3" s="24"/>
      <c r="D3" s="25"/>
      <c r="E3" s="22"/>
      <c r="F3" s="22"/>
    </row>
    <row r="4" spans="1:6" ht="32.25" customHeight="1" thickBot="1">
      <c r="A4" s="26" t="s">
        <v>0</v>
      </c>
      <c r="B4" s="27"/>
      <c r="C4" s="28"/>
      <c r="D4" s="28"/>
      <c r="E4" s="28"/>
      <c r="F4" s="28"/>
    </row>
    <row r="5" spans="1:7" ht="33" customHeight="1" thickBot="1">
      <c r="A5" s="30" t="s">
        <v>1</v>
      </c>
      <c r="B5" s="31"/>
      <c r="C5" s="32" t="s">
        <v>825</v>
      </c>
      <c r="D5" s="32" t="str">
        <f>"Proposed Budget FY "&amp;clFiscalYear</f>
        <v>Proposed Budget FY 2024</v>
      </c>
      <c r="E5" s="32" t="s">
        <v>2</v>
      </c>
      <c r="F5" s="371" t="s">
        <v>3</v>
      </c>
      <c r="G5" s="33" t="s">
        <v>826</v>
      </c>
    </row>
    <row r="6" spans="1:7" ht="18.75" customHeight="1" thickBot="1">
      <c r="A6" s="227"/>
      <c r="B6" s="545" t="s">
        <v>718</v>
      </c>
      <c r="C6" s="51">
        <f>'Form 5A'!H9</f>
        <v>0</v>
      </c>
      <c r="D6" s="51">
        <f>clTotIndSalaries</f>
        <v>0</v>
      </c>
      <c r="E6" s="51">
        <f>D6-C6</f>
        <v>0</v>
      </c>
      <c r="F6" s="372" t="str">
        <f>(IF(C6=0,"n/a",E6/C6))</f>
        <v>n/a</v>
      </c>
      <c r="G6" s="381">
        <f>'Form 5B'!H11</f>
        <v>0</v>
      </c>
    </row>
    <row r="7" spans="1:7" ht="18.75" customHeight="1">
      <c r="A7" s="219" t="s">
        <v>281</v>
      </c>
      <c r="B7" s="226" t="s">
        <v>463</v>
      </c>
      <c r="C7" s="38">
        <f>'Form 5A'!H14</f>
        <v>0</v>
      </c>
      <c r="D7" s="38">
        <f>clTotIndFringe</f>
        <v>0</v>
      </c>
      <c r="E7" s="38">
        <f>D7-C7</f>
        <v>0</v>
      </c>
      <c r="F7" s="373" t="str">
        <f>(IF(C7=0,"n/a",E7/C7))</f>
        <v>n/a</v>
      </c>
      <c r="G7" s="382">
        <f>'Form 5B'!H17</f>
        <v>0</v>
      </c>
    </row>
    <row r="8" spans="1:7" ht="18.75" customHeight="1">
      <c r="A8" s="35" t="s">
        <v>282</v>
      </c>
      <c r="B8" s="36" t="s">
        <v>145</v>
      </c>
      <c r="C8" s="38">
        <f>'Form 5A'!H15</f>
        <v>0</v>
      </c>
      <c r="D8" s="37">
        <f>clTotIndTaxes</f>
        <v>0</v>
      </c>
      <c r="E8" s="38">
        <f>D8-C8</f>
        <v>0</v>
      </c>
      <c r="F8" s="373" t="str">
        <f aca="true" t="shared" si="0" ref="F8:F20">(IF(C8=0,"n/a",E8/C8))</f>
        <v>n/a</v>
      </c>
      <c r="G8" s="382">
        <f>'Form 5B'!H18</f>
        <v>0</v>
      </c>
    </row>
    <row r="9" spans="1:7" ht="18.75" customHeight="1">
      <c r="A9" s="35" t="s">
        <v>283</v>
      </c>
      <c r="B9" s="544" t="s">
        <v>806</v>
      </c>
      <c r="C9" s="38">
        <f>'Form 5A'!H16</f>
        <v>0</v>
      </c>
      <c r="D9" s="37">
        <f>clTotIndFees</f>
        <v>0</v>
      </c>
      <c r="E9" s="38">
        <f aca="true" t="shared" si="1" ref="E9:E20">D9-C9</f>
        <v>0</v>
      </c>
      <c r="F9" s="373" t="str">
        <f t="shared" si="0"/>
        <v>n/a</v>
      </c>
      <c r="G9" s="382">
        <f>'Form 5B'!H19</f>
        <v>0</v>
      </c>
    </row>
    <row r="10" spans="1:7" ht="18.75" customHeight="1">
      <c r="A10" s="35" t="s">
        <v>284</v>
      </c>
      <c r="B10" s="36" t="s">
        <v>147</v>
      </c>
      <c r="C10" s="38">
        <f>'Form 5A'!H17</f>
        <v>0</v>
      </c>
      <c r="D10" s="37">
        <f>clTotIndSupplies</f>
        <v>0</v>
      </c>
      <c r="E10" s="38">
        <f t="shared" si="1"/>
        <v>0</v>
      </c>
      <c r="F10" s="373" t="str">
        <f t="shared" si="0"/>
        <v>n/a</v>
      </c>
      <c r="G10" s="382">
        <f>'Form 5B'!H20</f>
        <v>0</v>
      </c>
    </row>
    <row r="11" spans="1:7" ht="18.75" customHeight="1">
      <c r="A11" s="35" t="s">
        <v>285</v>
      </c>
      <c r="B11" s="36" t="s">
        <v>148</v>
      </c>
      <c r="C11" s="38">
        <f>'Form 5A'!H18</f>
        <v>0</v>
      </c>
      <c r="D11" s="37">
        <f>clTotIndPhone</f>
        <v>0</v>
      </c>
      <c r="E11" s="38">
        <f t="shared" si="1"/>
        <v>0</v>
      </c>
      <c r="F11" s="373" t="str">
        <f t="shared" si="0"/>
        <v>n/a</v>
      </c>
      <c r="G11" s="382">
        <f>'Form 5B'!H21</f>
        <v>0</v>
      </c>
    </row>
    <row r="12" spans="1:7" ht="18.75" customHeight="1">
      <c r="A12" s="35" t="s">
        <v>286</v>
      </c>
      <c r="B12" s="36" t="s">
        <v>149</v>
      </c>
      <c r="C12" s="38">
        <f>'Form 5A'!H19</f>
        <v>0</v>
      </c>
      <c r="D12" s="37">
        <f>clTotIndPostage</f>
        <v>0</v>
      </c>
      <c r="E12" s="38">
        <f t="shared" si="1"/>
        <v>0</v>
      </c>
      <c r="F12" s="373" t="str">
        <f t="shared" si="0"/>
        <v>n/a</v>
      </c>
      <c r="G12" s="382">
        <f>'Form 5B'!H22</f>
        <v>0</v>
      </c>
    </row>
    <row r="13" spans="1:7" ht="18.75" customHeight="1">
      <c r="A13" s="35" t="s">
        <v>287</v>
      </c>
      <c r="B13" s="36" t="s">
        <v>150</v>
      </c>
      <c r="C13" s="38">
        <f>'Form 5A'!H20</f>
        <v>0</v>
      </c>
      <c r="D13" s="37">
        <f>clTotIndOccup</f>
        <v>0</v>
      </c>
      <c r="E13" s="38">
        <f t="shared" si="1"/>
        <v>0</v>
      </c>
      <c r="F13" s="373" t="str">
        <f t="shared" si="0"/>
        <v>n/a</v>
      </c>
      <c r="G13" s="382">
        <f>'Form 5B'!H23</f>
        <v>0</v>
      </c>
    </row>
    <row r="14" spans="1:7" ht="18.75" customHeight="1">
      <c r="A14" s="35" t="s">
        <v>288</v>
      </c>
      <c r="B14" s="36" t="s">
        <v>460</v>
      </c>
      <c r="C14" s="38">
        <f>'Form 5A'!H21</f>
        <v>0</v>
      </c>
      <c r="D14" s="37">
        <f>clTotIndMaint</f>
        <v>0</v>
      </c>
      <c r="E14" s="38">
        <f t="shared" si="1"/>
        <v>0</v>
      </c>
      <c r="F14" s="373" t="str">
        <f t="shared" si="0"/>
        <v>n/a</v>
      </c>
      <c r="G14" s="382">
        <f>'Form 5B'!H24</f>
        <v>0</v>
      </c>
    </row>
    <row r="15" spans="1:7" ht="18.75" customHeight="1">
      <c r="A15" s="35" t="s">
        <v>20</v>
      </c>
      <c r="B15" s="36" t="s">
        <v>464</v>
      </c>
      <c r="C15" s="38">
        <f>'Form 5A'!H22</f>
        <v>0</v>
      </c>
      <c r="D15" s="37">
        <f>clTotIndPrint</f>
        <v>0</v>
      </c>
      <c r="E15" s="38">
        <f t="shared" si="1"/>
        <v>0</v>
      </c>
      <c r="F15" s="373" t="str">
        <f t="shared" si="0"/>
        <v>n/a</v>
      </c>
      <c r="G15" s="382">
        <f>'Form 5B'!H25</f>
        <v>0</v>
      </c>
    </row>
    <row r="16" spans="1:7" ht="18.75" customHeight="1">
      <c r="A16" s="35" t="s">
        <v>289</v>
      </c>
      <c r="B16" s="36" t="s">
        <v>247</v>
      </c>
      <c r="C16" s="38">
        <f>'Form 5A'!H23</f>
        <v>0</v>
      </c>
      <c r="D16" s="37">
        <f>clTotIndPubs</f>
        <v>0</v>
      </c>
      <c r="E16" s="38">
        <f t="shared" si="1"/>
        <v>0</v>
      </c>
      <c r="F16" s="373" t="str">
        <f t="shared" si="0"/>
        <v>n/a</v>
      </c>
      <c r="G16" s="382">
        <f>'Form 5B'!H26</f>
        <v>0</v>
      </c>
    </row>
    <row r="17" spans="1:7" ht="18.75" customHeight="1">
      <c r="A17" s="35" t="s">
        <v>290</v>
      </c>
      <c r="B17" s="36" t="s">
        <v>151</v>
      </c>
      <c r="C17" s="38">
        <f>'Form 5A'!H24</f>
        <v>0</v>
      </c>
      <c r="D17" s="37">
        <f>clTotIndTrans</f>
        <v>0</v>
      </c>
      <c r="E17" s="38">
        <f t="shared" si="1"/>
        <v>0</v>
      </c>
      <c r="F17" s="373" t="str">
        <f t="shared" si="0"/>
        <v>n/a</v>
      </c>
      <c r="G17" s="382">
        <f>'Form 5B'!H27</f>
        <v>0</v>
      </c>
    </row>
    <row r="18" spans="1:7" ht="18.75" customHeight="1">
      <c r="A18" s="35" t="s">
        <v>291</v>
      </c>
      <c r="B18" s="36" t="s">
        <v>461</v>
      </c>
      <c r="C18" s="38">
        <f>'Form 5A'!H25</f>
        <v>0</v>
      </c>
      <c r="D18" s="37">
        <f>clTotIndMeetings</f>
        <v>0</v>
      </c>
      <c r="E18" s="38">
        <f t="shared" si="1"/>
        <v>0</v>
      </c>
      <c r="F18" s="373" t="str">
        <f t="shared" si="0"/>
        <v>n/a</v>
      </c>
      <c r="G18" s="382">
        <f>'Form 5B'!H28</f>
        <v>0</v>
      </c>
    </row>
    <row r="19" spans="1:7" ht="18.75" customHeight="1">
      <c r="A19" s="35" t="s">
        <v>292</v>
      </c>
      <c r="B19" s="36" t="s">
        <v>462</v>
      </c>
      <c r="C19" s="38">
        <f>'Form 5A'!H26</f>
        <v>0</v>
      </c>
      <c r="D19" s="37">
        <f>clTotIndDues</f>
        <v>0</v>
      </c>
      <c r="E19" s="38">
        <f t="shared" si="1"/>
        <v>0</v>
      </c>
      <c r="F19" s="373" t="str">
        <f t="shared" si="0"/>
        <v>n/a</v>
      </c>
      <c r="G19" s="382">
        <f>'Form 5B'!H29</f>
        <v>0</v>
      </c>
    </row>
    <row r="20" spans="1:7" ht="18.75" customHeight="1" thickBot="1">
      <c r="A20" s="35" t="s">
        <v>293</v>
      </c>
      <c r="B20" s="36" t="s">
        <v>153</v>
      </c>
      <c r="C20" s="38">
        <f>'Form 5A'!H27</f>
        <v>0</v>
      </c>
      <c r="D20" s="37">
        <f>clTotIndDeprec</f>
        <v>0</v>
      </c>
      <c r="E20" s="38">
        <f t="shared" si="1"/>
        <v>0</v>
      </c>
      <c r="F20" s="373" t="str">
        <f t="shared" si="0"/>
        <v>n/a</v>
      </c>
      <c r="G20" s="383">
        <f>'Form 5B'!H30</f>
        <v>0</v>
      </c>
    </row>
    <row r="21" spans="1:7" ht="20.25" customHeight="1" thickBot="1">
      <c r="A21" s="48" t="s">
        <v>719</v>
      </c>
      <c r="B21" s="49"/>
      <c r="C21" s="50">
        <f>SUM(C6:C20)</f>
        <v>0</v>
      </c>
      <c r="D21" s="50">
        <f>SUM(D6:D20)</f>
        <v>0</v>
      </c>
      <c r="E21" s="51">
        <f>D21-C21</f>
        <v>0</v>
      </c>
      <c r="F21" s="372" t="str">
        <f>(IF(C21=0,"n/a",E21/C21))</f>
        <v>n/a</v>
      </c>
      <c r="G21" s="384">
        <f>SUM(G6:G20)</f>
        <v>0</v>
      </c>
    </row>
    <row r="22" spans="1:2" ht="12.75">
      <c r="A22" s="15"/>
      <c r="B22" s="15"/>
    </row>
    <row r="24" spans="1:2" ht="12.75">
      <c r="A24" s="47"/>
      <c r="B24" s="47"/>
    </row>
  </sheetData>
  <sheetProtection password="860F" sheet="1" selectLockedCells="1"/>
  <printOptions horizontalCentered="1"/>
  <pageMargins left="0" right="0" top="0" bottom="0" header="0" footer="0"/>
  <pageSetup horizontalDpi="600" verticalDpi="600" orientation="landscape" scale="105" r:id="rId1"/>
  <headerFooter alignWithMargins="0">
    <oddFooter>&amp;LNSES Budget Template - Approved&amp;C02/2023&amp;R2B</oddFooter>
  </headerFooter>
</worksheet>
</file>

<file path=xl/worksheets/sheet6.xml><?xml version="1.0" encoding="utf-8"?>
<worksheet xmlns="http://schemas.openxmlformats.org/spreadsheetml/2006/main" xmlns:r="http://schemas.openxmlformats.org/officeDocument/2006/relationships">
  <dimension ref="A1:E63"/>
  <sheetViews>
    <sheetView zoomScalePageLayoutView="0" workbookViewId="0" topLeftCell="A1">
      <selection activeCell="B10" sqref="B10"/>
    </sheetView>
  </sheetViews>
  <sheetFormatPr defaultColWidth="9.140625" defaultRowHeight="12.75"/>
  <cols>
    <col min="1" max="1" width="16.421875" style="18" customWidth="1"/>
    <col min="2" max="2" width="41.57421875" style="18" customWidth="1"/>
    <col min="3" max="3" width="11.00390625" style="91" customWidth="1"/>
    <col min="4" max="4" width="14.7109375" style="92" customWidth="1"/>
    <col min="5" max="5" width="50.00390625" style="18" customWidth="1"/>
    <col min="6" max="6" width="9.140625" style="18" customWidth="1"/>
    <col min="7" max="7" width="9.140625" style="18" hidden="1" customWidth="1"/>
    <col min="8" max="16384" width="9.140625" style="18" customWidth="1"/>
  </cols>
  <sheetData>
    <row r="1" spans="1:5" s="23" customFormat="1" ht="18.75" customHeight="1">
      <c r="A1" s="19" t="str">
        <f>clWBTitle</f>
        <v>Nonpublic Special Education School Budget for FY 2024</v>
      </c>
      <c r="B1" s="19"/>
      <c r="C1" s="74"/>
      <c r="D1" s="431" t="s">
        <v>713</v>
      </c>
      <c r="E1" s="75" t="s">
        <v>714</v>
      </c>
    </row>
    <row r="2" spans="1:5" s="23" customFormat="1" ht="15" customHeight="1">
      <c r="A2" s="19" t="str">
        <f>"School"&amp;CHAR(151)&amp;clSchoolName</f>
        <v>School—</v>
      </c>
      <c r="B2" s="19"/>
      <c r="C2" s="74"/>
      <c r="D2" s="74"/>
      <c r="E2" s="76"/>
    </row>
    <row r="3" spans="1:5" s="23" customFormat="1" ht="15" customHeight="1">
      <c r="A3" s="19" t="str">
        <f>"Program"&amp;CHAR(151)&amp;clProgramName</f>
        <v>Program—</v>
      </c>
      <c r="B3" s="19"/>
      <c r="C3" s="77"/>
      <c r="D3" s="78"/>
      <c r="E3" s="80"/>
    </row>
    <row r="4" spans="1:4" s="23" customFormat="1" ht="33.75" customHeight="1" thickBot="1">
      <c r="A4" s="26" t="s">
        <v>722</v>
      </c>
      <c r="B4" s="26"/>
      <c r="C4" s="289"/>
      <c r="D4" s="290"/>
    </row>
    <row r="5" spans="1:5" s="85" customFormat="1" ht="13.5" customHeight="1" thickBot="1">
      <c r="A5" s="386" t="s">
        <v>721</v>
      </c>
      <c r="B5" s="83" t="s">
        <v>646</v>
      </c>
      <c r="C5" s="82" t="s">
        <v>15</v>
      </c>
      <c r="D5" s="83" t="s">
        <v>101</v>
      </c>
      <c r="E5" s="84" t="s">
        <v>18</v>
      </c>
    </row>
    <row r="6" spans="1:5" ht="23.25" customHeight="1">
      <c r="A6" s="235"/>
      <c r="B6" s="365"/>
      <c r="C6" s="137">
        <v>0</v>
      </c>
      <c r="D6" s="131"/>
      <c r="E6" s="132"/>
    </row>
    <row r="7" spans="1:5" ht="23.25" customHeight="1">
      <c r="A7" s="236"/>
      <c r="B7" s="366"/>
      <c r="C7" s="137"/>
      <c r="D7" s="133"/>
      <c r="E7" s="134"/>
    </row>
    <row r="8" spans="1:5" ht="23.25" customHeight="1">
      <c r="A8" s="236"/>
      <c r="B8" s="366"/>
      <c r="C8" s="137"/>
      <c r="D8" s="133"/>
      <c r="E8" s="134"/>
    </row>
    <row r="9" spans="1:5" ht="23.25" customHeight="1">
      <c r="A9" s="236"/>
      <c r="B9" s="366"/>
      <c r="C9" s="137"/>
      <c r="D9" s="133"/>
      <c r="E9" s="134"/>
    </row>
    <row r="10" spans="1:5" ht="23.25" customHeight="1">
      <c r="A10" s="236"/>
      <c r="B10" s="366"/>
      <c r="C10" s="137"/>
      <c r="D10" s="133"/>
      <c r="E10" s="134"/>
    </row>
    <row r="11" spans="1:5" ht="23.25" customHeight="1">
      <c r="A11" s="236"/>
      <c r="B11" s="366"/>
      <c r="C11" s="137"/>
      <c r="D11" s="133"/>
      <c r="E11" s="134"/>
    </row>
    <row r="12" spans="1:5" ht="23.25" customHeight="1">
      <c r="A12" s="236"/>
      <c r="B12" s="366"/>
      <c r="C12" s="137"/>
      <c r="D12" s="133"/>
      <c r="E12" s="134"/>
    </row>
    <row r="13" spans="1:5" ht="23.25" customHeight="1">
      <c r="A13" s="236"/>
      <c r="B13" s="366"/>
      <c r="C13" s="137"/>
      <c r="D13" s="133"/>
      <c r="E13" s="134"/>
    </row>
    <row r="14" spans="1:5" ht="23.25" customHeight="1">
      <c r="A14" s="236"/>
      <c r="B14" s="366"/>
      <c r="C14" s="137"/>
      <c r="D14" s="133"/>
      <c r="E14" s="134"/>
    </row>
    <row r="15" spans="1:5" ht="23.25" customHeight="1">
      <c r="A15" s="236"/>
      <c r="B15" s="366"/>
      <c r="C15" s="137"/>
      <c r="D15" s="133"/>
      <c r="E15" s="134"/>
    </row>
    <row r="16" spans="1:5" ht="23.25" customHeight="1">
      <c r="A16" s="236"/>
      <c r="B16" s="366"/>
      <c r="C16" s="137"/>
      <c r="D16" s="133"/>
      <c r="E16" s="134"/>
    </row>
    <row r="17" spans="1:5" ht="23.25" customHeight="1">
      <c r="A17" s="236"/>
      <c r="B17" s="366"/>
      <c r="C17" s="137"/>
      <c r="D17" s="133"/>
      <c r="E17" s="134"/>
    </row>
    <row r="18" spans="1:5" ht="23.25" customHeight="1">
      <c r="A18" s="236"/>
      <c r="B18" s="366"/>
      <c r="C18" s="137"/>
      <c r="D18" s="133"/>
      <c r="E18" s="134"/>
    </row>
    <row r="19" spans="1:5" ht="23.25" customHeight="1" thickBot="1">
      <c r="A19" s="236"/>
      <c r="B19" s="366"/>
      <c r="C19" s="137"/>
      <c r="D19" s="133"/>
      <c r="E19" s="134"/>
    </row>
    <row r="20" spans="1:5" ht="18.75" customHeight="1" thickBot="1">
      <c r="A20" s="766" t="s">
        <v>733</v>
      </c>
      <c r="B20" s="767"/>
      <c r="C20" s="86">
        <f>SUM(C6:C19)</f>
        <v>0</v>
      </c>
      <c r="D20" s="87">
        <f>SUM(D6:D19)</f>
        <v>0</v>
      </c>
      <c r="E20" s="88"/>
    </row>
    <row r="21" spans="1:4" ht="13.5" customHeight="1">
      <c r="A21" s="73"/>
      <c r="B21" s="73"/>
      <c r="C21" s="89"/>
      <c r="D21" s="89"/>
    </row>
    <row r="22" spans="1:4" ht="13.5" customHeight="1">
      <c r="A22" s="73"/>
      <c r="B22" s="73"/>
      <c r="C22" s="89"/>
      <c r="D22" s="89"/>
    </row>
    <row r="23" spans="1:4" ht="13.5" customHeight="1">
      <c r="A23" s="73"/>
      <c r="B23" s="73"/>
      <c r="C23" s="89"/>
      <c r="D23" s="89"/>
    </row>
    <row r="24" spans="1:4" ht="12.75">
      <c r="A24" s="73"/>
      <c r="B24" s="73"/>
      <c r="C24" s="89"/>
      <c r="D24" s="89"/>
    </row>
    <row r="25" spans="1:4" ht="12.75">
      <c r="A25" s="73"/>
      <c r="B25" s="73"/>
      <c r="C25" s="89"/>
      <c r="D25" s="89"/>
    </row>
    <row r="26" spans="1:4" ht="12.75">
      <c r="A26" s="73"/>
      <c r="B26" s="73"/>
      <c r="C26" s="89"/>
      <c r="D26" s="89"/>
    </row>
    <row r="27" spans="1:4" ht="12.75">
      <c r="A27" s="73"/>
      <c r="B27" s="73"/>
      <c r="C27" s="89"/>
      <c r="D27" s="89"/>
    </row>
    <row r="28" spans="1:4" ht="12.75">
      <c r="A28" s="73"/>
      <c r="B28" s="73"/>
      <c r="C28" s="89"/>
      <c r="D28" s="89"/>
    </row>
    <row r="29" spans="1:4" ht="12.75">
      <c r="A29" s="73"/>
      <c r="B29" s="73"/>
      <c r="C29" s="89"/>
      <c r="D29" s="89"/>
    </row>
    <row r="30" spans="1:4" ht="12.75">
      <c r="A30" s="73"/>
      <c r="B30" s="73"/>
      <c r="C30" s="89"/>
      <c r="D30" s="89"/>
    </row>
    <row r="31" spans="1:4" ht="12.75">
      <c r="A31" s="73"/>
      <c r="B31" s="73"/>
      <c r="C31" s="89"/>
      <c r="D31" s="89"/>
    </row>
    <row r="32" spans="1:4" ht="12.75">
      <c r="A32" s="73"/>
      <c r="B32" s="73"/>
      <c r="C32" s="89"/>
      <c r="D32" s="89"/>
    </row>
    <row r="33" spans="1:4" ht="12.75">
      <c r="A33" s="73"/>
      <c r="B33" s="73"/>
      <c r="C33" s="89"/>
      <c r="D33" s="89"/>
    </row>
    <row r="34" spans="1:4" ht="12.75">
      <c r="A34" s="73"/>
      <c r="B34" s="73"/>
      <c r="C34" s="89"/>
      <c r="D34" s="89"/>
    </row>
    <row r="35" spans="1:4" ht="12.75">
      <c r="A35" s="73"/>
      <c r="B35" s="73"/>
      <c r="C35" s="89"/>
      <c r="D35" s="89"/>
    </row>
    <row r="36" spans="1:4" ht="12.75">
      <c r="A36" s="73"/>
      <c r="B36" s="73"/>
      <c r="C36" s="89"/>
      <c r="D36" s="89"/>
    </row>
    <row r="37" spans="1:4" ht="12.75">
      <c r="A37" s="73"/>
      <c r="B37" s="73"/>
      <c r="C37" s="89"/>
      <c r="D37" s="89"/>
    </row>
    <row r="38" spans="1:4" ht="12.75">
      <c r="A38" s="73"/>
      <c r="B38" s="73"/>
      <c r="C38" s="89"/>
      <c r="D38" s="89"/>
    </row>
    <row r="39" spans="1:4" ht="12.75">
      <c r="A39" s="73"/>
      <c r="B39" s="73"/>
      <c r="C39" s="89"/>
      <c r="D39" s="89"/>
    </row>
    <row r="40" spans="1:4" ht="12.75">
      <c r="A40" s="73"/>
      <c r="B40" s="73"/>
      <c r="C40" s="89"/>
      <c r="D40" s="89"/>
    </row>
    <row r="41" spans="1:4" ht="12.75">
      <c r="A41" s="73"/>
      <c r="B41" s="73"/>
      <c r="C41" s="89"/>
      <c r="D41" s="89"/>
    </row>
    <row r="42" spans="1:4" ht="12.75">
      <c r="A42" s="73"/>
      <c r="B42" s="73"/>
      <c r="C42" s="89"/>
      <c r="D42" s="89"/>
    </row>
    <row r="43" spans="1:4" ht="12.75">
      <c r="A43" s="73"/>
      <c r="B43" s="73"/>
      <c r="C43" s="89"/>
      <c r="D43" s="89"/>
    </row>
    <row r="44" spans="1:4" ht="12.75">
      <c r="A44" s="73"/>
      <c r="B44" s="73"/>
      <c r="C44" s="89"/>
      <c r="D44" s="89"/>
    </row>
    <row r="45" spans="1:4" ht="12.75">
      <c r="A45" s="73"/>
      <c r="B45" s="73"/>
      <c r="C45" s="89"/>
      <c r="D45" s="89"/>
    </row>
    <row r="46" spans="1:4" ht="12.75">
      <c r="A46" s="73"/>
      <c r="B46" s="73"/>
      <c r="C46" s="89"/>
      <c r="D46" s="89"/>
    </row>
    <row r="47" spans="1:4" ht="12.75">
      <c r="A47" s="73"/>
      <c r="B47" s="73"/>
      <c r="C47" s="89"/>
      <c r="D47" s="89"/>
    </row>
    <row r="48" spans="1:4" ht="12.75">
      <c r="A48" s="73"/>
      <c r="B48" s="73"/>
      <c r="C48" s="89"/>
      <c r="D48" s="89"/>
    </row>
    <row r="49" spans="1:4" ht="12.75">
      <c r="A49" s="73"/>
      <c r="B49" s="73"/>
      <c r="C49" s="89"/>
      <c r="D49" s="89"/>
    </row>
    <row r="50" spans="1:4" ht="12.75">
      <c r="A50" s="73"/>
      <c r="B50" s="73"/>
      <c r="C50" s="89"/>
      <c r="D50" s="89"/>
    </row>
    <row r="51" spans="1:4" ht="12.75">
      <c r="A51" s="73"/>
      <c r="B51" s="73"/>
      <c r="C51" s="89"/>
      <c r="D51" s="89"/>
    </row>
    <row r="52" spans="1:4" ht="12.75">
      <c r="A52" s="73"/>
      <c r="B52" s="73"/>
      <c r="C52" s="89"/>
      <c r="D52" s="89"/>
    </row>
    <row r="53" spans="1:4" ht="12.75">
      <c r="A53" s="73"/>
      <c r="B53" s="73"/>
      <c r="C53" s="89"/>
      <c r="D53" s="89"/>
    </row>
    <row r="54" spans="1:4" ht="12.75">
      <c r="A54" s="73"/>
      <c r="B54" s="73"/>
      <c r="C54" s="89"/>
      <c r="D54" s="89"/>
    </row>
    <row r="55" spans="1:4" ht="12.75">
      <c r="A55" s="73"/>
      <c r="B55" s="73"/>
      <c r="C55" s="89"/>
      <c r="D55" s="89"/>
    </row>
    <row r="56" spans="1:4" ht="12.75">
      <c r="A56" s="73"/>
      <c r="B56" s="73"/>
      <c r="C56" s="89"/>
      <c r="D56" s="89"/>
    </row>
    <row r="57" spans="1:4" ht="12.75">
      <c r="A57" s="73"/>
      <c r="B57" s="73"/>
      <c r="C57" s="89"/>
      <c r="D57" s="89"/>
    </row>
    <row r="58" spans="1:4" ht="12.75">
      <c r="A58" s="73"/>
      <c r="B58" s="73"/>
      <c r="C58" s="89"/>
      <c r="D58" s="89"/>
    </row>
    <row r="59" spans="1:4" ht="12.75">
      <c r="A59" s="73"/>
      <c r="B59" s="73"/>
      <c r="C59" s="89"/>
      <c r="D59" s="89"/>
    </row>
    <row r="60" spans="1:4" ht="12.75">
      <c r="A60" s="73"/>
      <c r="B60" s="73"/>
      <c r="C60" s="89"/>
      <c r="D60" s="89"/>
    </row>
    <row r="61" spans="1:4" ht="12.75">
      <c r="A61" s="73"/>
      <c r="B61" s="73"/>
      <c r="C61" s="89"/>
      <c r="D61" s="89"/>
    </row>
    <row r="62" spans="1:4" ht="12.75">
      <c r="A62" s="73"/>
      <c r="B62" s="73"/>
      <c r="C62" s="89"/>
      <c r="D62" s="89"/>
    </row>
    <row r="63" spans="1:4" ht="12.75">
      <c r="A63" s="73"/>
      <c r="B63" s="73"/>
      <c r="C63" s="89"/>
      <c r="D63" s="89"/>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2">
    <dataValidation type="custom" allowBlank="1" showInputMessage="1" showErrorMessage="1" sqref="C6:C19">
      <formula1>IF(ISNUMBER(FIND(".",C6)),LEN(C6)-FIND(".",C6)&lt;=2,TRUE)</formula1>
    </dataValidation>
    <dataValidation type="custom" allowBlank="1" showInputMessage="1" showErrorMessage="1" prompt="Round Off. No Decimals" error="Round Off. No Decimals" sqref="D6:D19">
      <formula1>IF(ISNUMBER(FIND(".",D6)),LEN(D6)-FIND(".",D6)&lt;=2,TRUE)</formula1>
    </dataValidation>
  </dataValidations>
  <printOptions horizontalCentered="1"/>
  <pageMargins left="0" right="0" top="0.36" bottom="0" header="0" footer="0"/>
  <pageSetup horizontalDpi="600" verticalDpi="600" orientation="landscape" scale="97" r:id="rId1"/>
  <headerFooter alignWithMargins="0">
    <oddFooter>&amp;LNSES Budget Template - Approved&amp;C01/2023&amp;R3</oddFooter>
  </headerFooter>
</worksheet>
</file>

<file path=xl/worksheets/sheet7.xml><?xml version="1.0" encoding="utf-8"?>
<worksheet xmlns="http://schemas.openxmlformats.org/spreadsheetml/2006/main" xmlns:r="http://schemas.openxmlformats.org/officeDocument/2006/relationships">
  <dimension ref="A1:F63"/>
  <sheetViews>
    <sheetView zoomScalePageLayoutView="0" workbookViewId="0" topLeftCell="A4">
      <selection activeCell="B17" sqref="B17"/>
    </sheetView>
  </sheetViews>
  <sheetFormatPr defaultColWidth="9.140625" defaultRowHeight="12.75"/>
  <cols>
    <col min="1" max="1" width="16.28125" style="18" customWidth="1"/>
    <col min="2" max="2" width="41.57421875" style="18" customWidth="1"/>
    <col min="3" max="3" width="8.140625" style="98" customWidth="1"/>
    <col min="4" max="4" width="14.7109375" style="92" customWidth="1"/>
    <col min="5" max="5" width="15.8515625" style="92" customWidth="1"/>
    <col min="6" max="6" width="50.00390625" style="18" customWidth="1"/>
    <col min="7" max="7" width="9.140625" style="18" customWidth="1"/>
    <col min="8" max="8" width="9.140625" style="18" hidden="1" customWidth="1"/>
    <col min="9" max="16384" width="9.140625" style="18" customWidth="1"/>
  </cols>
  <sheetData>
    <row r="1" spans="1:6" s="23" customFormat="1" ht="18.75" customHeight="1">
      <c r="A1" s="13" t="str">
        <f>clWBTitle</f>
        <v>Nonpublic Special Education School Budget for FY 2024</v>
      </c>
      <c r="B1" s="13"/>
      <c r="C1" s="20"/>
      <c r="D1" s="431" t="s">
        <v>713</v>
      </c>
      <c r="E1" s="431"/>
      <c r="F1" s="93" t="s">
        <v>100</v>
      </c>
    </row>
    <row r="2" spans="1:6" s="23" customFormat="1" ht="15" customHeight="1">
      <c r="A2" s="13" t="str">
        <f>"School"&amp;CHAR(151)&amp;clSchoolName</f>
        <v>School—</v>
      </c>
      <c r="B2" s="13"/>
      <c r="C2" s="20"/>
      <c r="D2" s="20"/>
      <c r="E2" s="20"/>
      <c r="F2" s="21"/>
    </row>
    <row r="3" spans="1:6" s="23" customFormat="1" ht="15" customHeight="1">
      <c r="A3" s="13" t="str">
        <f>"Program"&amp;CHAR(151)&amp;clProgramName</f>
        <v>Program—</v>
      </c>
      <c r="B3" s="13"/>
      <c r="C3" s="77"/>
      <c r="D3" s="94"/>
      <c r="E3" s="94"/>
      <c r="F3" s="25"/>
    </row>
    <row r="4" spans="1:6" s="23" customFormat="1" ht="33.75" customHeight="1" thickBot="1">
      <c r="A4" s="27" t="s">
        <v>723</v>
      </c>
      <c r="B4" s="27"/>
      <c r="C4" s="289"/>
      <c r="D4" s="289"/>
      <c r="E4" s="289"/>
      <c r="F4" s="289"/>
    </row>
    <row r="5" spans="1:6" s="85" customFormat="1" ht="13.5" customHeight="1" thickBot="1">
      <c r="A5" s="386" t="s">
        <v>647</v>
      </c>
      <c r="B5" s="83" t="s">
        <v>646</v>
      </c>
      <c r="C5" s="95" t="s">
        <v>15</v>
      </c>
      <c r="D5" s="95" t="s">
        <v>101</v>
      </c>
      <c r="E5" s="449" t="s">
        <v>763</v>
      </c>
      <c r="F5" s="96" t="s">
        <v>18</v>
      </c>
    </row>
    <row r="6" spans="1:6" ht="23.25" customHeight="1">
      <c r="A6" s="235"/>
      <c r="B6" s="365"/>
      <c r="C6" s="137">
        <v>0</v>
      </c>
      <c r="D6" s="131">
        <v>0</v>
      </c>
      <c r="E6" s="546" t="str">
        <f>IF(D6=0," ",D6/C6)</f>
        <v> </v>
      </c>
      <c r="F6" s="132"/>
    </row>
    <row r="7" spans="1:6" ht="23.25" customHeight="1">
      <c r="A7" s="236"/>
      <c r="B7" s="366"/>
      <c r="C7" s="137"/>
      <c r="D7" s="133"/>
      <c r="E7" s="547" t="str">
        <f aca="true" t="shared" si="0" ref="E7:E20">IF(D7=0," ",D7/C7)</f>
        <v> </v>
      </c>
      <c r="F7" s="134"/>
    </row>
    <row r="8" spans="1:6" ht="23.25" customHeight="1">
      <c r="A8" s="236"/>
      <c r="B8" s="366"/>
      <c r="C8" s="137"/>
      <c r="D8" s="133"/>
      <c r="E8" s="547" t="str">
        <f t="shared" si="0"/>
        <v> </v>
      </c>
      <c r="F8" s="134"/>
    </row>
    <row r="9" spans="1:6" ht="23.25" customHeight="1">
      <c r="A9" s="236"/>
      <c r="B9" s="366"/>
      <c r="C9" s="137"/>
      <c r="D9" s="133"/>
      <c r="E9" s="547" t="str">
        <f t="shared" si="0"/>
        <v> </v>
      </c>
      <c r="F9" s="134"/>
    </row>
    <row r="10" spans="1:6" ht="23.25" customHeight="1">
      <c r="A10" s="236"/>
      <c r="B10" s="366"/>
      <c r="C10" s="137"/>
      <c r="D10" s="133"/>
      <c r="E10" s="547" t="str">
        <f t="shared" si="0"/>
        <v> </v>
      </c>
      <c r="F10" s="134"/>
    </row>
    <row r="11" spans="1:6" ht="23.25" customHeight="1">
      <c r="A11" s="236"/>
      <c r="B11" s="366"/>
      <c r="C11" s="137"/>
      <c r="D11" s="133"/>
      <c r="E11" s="547" t="str">
        <f t="shared" si="0"/>
        <v> </v>
      </c>
      <c r="F11" s="134"/>
    </row>
    <row r="12" spans="1:6" ht="23.25" customHeight="1">
      <c r="A12" s="236"/>
      <c r="B12" s="366"/>
      <c r="C12" s="137"/>
      <c r="D12" s="133"/>
      <c r="E12" s="547" t="str">
        <f t="shared" si="0"/>
        <v> </v>
      </c>
      <c r="F12" s="134"/>
    </row>
    <row r="13" spans="1:6" ht="23.25" customHeight="1">
      <c r="A13" s="236"/>
      <c r="B13" s="366"/>
      <c r="C13" s="137"/>
      <c r="D13" s="133"/>
      <c r="E13" s="547" t="str">
        <f t="shared" si="0"/>
        <v> </v>
      </c>
      <c r="F13" s="134"/>
    </row>
    <row r="14" spans="1:6" ht="23.25" customHeight="1">
      <c r="A14" s="236"/>
      <c r="B14" s="366"/>
      <c r="C14" s="137"/>
      <c r="D14" s="133"/>
      <c r="E14" s="547" t="str">
        <f t="shared" si="0"/>
        <v> </v>
      </c>
      <c r="F14" s="134"/>
    </row>
    <row r="15" spans="1:6" ht="23.25" customHeight="1">
      <c r="A15" s="236"/>
      <c r="B15" s="366"/>
      <c r="C15" s="137"/>
      <c r="D15" s="133"/>
      <c r="E15" s="547" t="str">
        <f t="shared" si="0"/>
        <v> </v>
      </c>
      <c r="F15" s="134"/>
    </row>
    <row r="16" spans="1:6" ht="23.25" customHeight="1">
      <c r="A16" s="236"/>
      <c r="B16" s="366"/>
      <c r="C16" s="137"/>
      <c r="D16" s="133"/>
      <c r="E16" s="547" t="str">
        <f t="shared" si="0"/>
        <v> </v>
      </c>
      <c r="F16" s="134"/>
    </row>
    <row r="17" spans="1:6" ht="23.25" customHeight="1">
      <c r="A17" s="236"/>
      <c r="B17" s="366"/>
      <c r="C17" s="137"/>
      <c r="D17" s="133"/>
      <c r="E17" s="547" t="str">
        <f t="shared" si="0"/>
        <v> </v>
      </c>
      <c r="F17" s="134"/>
    </row>
    <row r="18" spans="1:6" ht="23.25" customHeight="1">
      <c r="A18" s="236"/>
      <c r="B18" s="366"/>
      <c r="C18" s="137"/>
      <c r="D18" s="133"/>
      <c r="E18" s="547" t="str">
        <f t="shared" si="0"/>
        <v> </v>
      </c>
      <c r="F18" s="134"/>
    </row>
    <row r="19" spans="1:6" ht="23.25" customHeight="1" thickBot="1">
      <c r="A19" s="236"/>
      <c r="B19" s="366"/>
      <c r="C19" s="137"/>
      <c r="D19" s="133"/>
      <c r="E19" s="547" t="str">
        <f t="shared" si="0"/>
        <v> </v>
      </c>
      <c r="F19" s="134"/>
    </row>
    <row r="20" spans="1:6" ht="18.75" customHeight="1" thickBot="1">
      <c r="A20" s="766" t="s">
        <v>734</v>
      </c>
      <c r="B20" s="767"/>
      <c r="C20" s="86">
        <f>SUM(C6:C19)</f>
        <v>0</v>
      </c>
      <c r="D20" s="97">
        <f>SUM(D6:D19)</f>
        <v>0</v>
      </c>
      <c r="E20" s="549" t="str">
        <f t="shared" si="0"/>
        <v> </v>
      </c>
      <c r="F20" s="88"/>
    </row>
    <row r="21" spans="1:5" ht="13.5" customHeight="1">
      <c r="A21" s="73"/>
      <c r="B21" s="73"/>
      <c r="C21" s="89"/>
      <c r="D21" s="89"/>
      <c r="E21" s="89"/>
    </row>
    <row r="22" spans="1:5" ht="13.5" customHeight="1">
      <c r="A22" s="73"/>
      <c r="B22" s="73"/>
      <c r="C22" s="89"/>
      <c r="D22" s="89"/>
      <c r="E22" s="89"/>
    </row>
    <row r="23" spans="1:5" ht="13.5" customHeight="1">
      <c r="A23" s="73"/>
      <c r="B23" s="73"/>
      <c r="C23" s="89"/>
      <c r="D23" s="89"/>
      <c r="E23" s="89"/>
    </row>
    <row r="24" spans="1:5" ht="12.75">
      <c r="A24" s="73"/>
      <c r="B24" s="73"/>
      <c r="C24" s="89"/>
      <c r="D24" s="89"/>
      <c r="E24" s="89"/>
    </row>
    <row r="25" spans="1:5" ht="12.75">
      <c r="A25" s="73"/>
      <c r="B25" s="73"/>
      <c r="C25" s="89"/>
      <c r="D25" s="89"/>
      <c r="E25" s="89"/>
    </row>
    <row r="26" spans="1:5" ht="12.75">
      <c r="A26" s="73"/>
      <c r="B26" s="73"/>
      <c r="C26" s="89"/>
      <c r="D26" s="89"/>
      <c r="E26" s="89"/>
    </row>
    <row r="27" spans="1:5" ht="12.75">
      <c r="A27" s="73"/>
      <c r="B27" s="73"/>
      <c r="C27" s="89"/>
      <c r="D27" s="89"/>
      <c r="E27" s="89"/>
    </row>
    <row r="28" spans="1:5" ht="12.75">
      <c r="A28" s="73"/>
      <c r="B28" s="73"/>
      <c r="C28" s="89"/>
      <c r="D28" s="89"/>
      <c r="E28" s="89"/>
    </row>
    <row r="29" spans="1:5" ht="12.75">
      <c r="A29" s="73"/>
      <c r="B29" s="73"/>
      <c r="C29" s="89"/>
      <c r="D29" s="89"/>
      <c r="E29" s="89"/>
    </row>
    <row r="30" spans="1:5" ht="12.75">
      <c r="A30" s="73"/>
      <c r="B30" s="73"/>
      <c r="C30" s="89"/>
      <c r="D30" s="89"/>
      <c r="E30" s="89"/>
    </row>
    <row r="31" spans="1:5" ht="12.75">
      <c r="A31" s="73"/>
      <c r="B31" s="73"/>
      <c r="C31" s="89"/>
      <c r="D31" s="89"/>
      <c r="E31" s="89"/>
    </row>
    <row r="32" spans="1:5" ht="12.75">
      <c r="A32" s="73"/>
      <c r="B32" s="73"/>
      <c r="C32" s="89"/>
      <c r="D32" s="89"/>
      <c r="E32" s="89"/>
    </row>
    <row r="33" spans="1:5" ht="12.75">
      <c r="A33" s="73"/>
      <c r="B33" s="73"/>
      <c r="C33" s="89"/>
      <c r="D33" s="89"/>
      <c r="E33" s="89"/>
    </row>
    <row r="34" spans="1:5" ht="12.75">
      <c r="A34" s="73"/>
      <c r="B34" s="73"/>
      <c r="C34" s="89"/>
      <c r="D34" s="89"/>
      <c r="E34" s="89"/>
    </row>
    <row r="35" spans="1:5" ht="12.75">
      <c r="A35" s="73"/>
      <c r="B35" s="73"/>
      <c r="C35" s="89"/>
      <c r="D35" s="89"/>
      <c r="E35" s="89"/>
    </row>
    <row r="36" spans="1:5" ht="12.75">
      <c r="A36" s="73"/>
      <c r="B36" s="73"/>
      <c r="C36" s="89"/>
      <c r="D36" s="89"/>
      <c r="E36" s="89"/>
    </row>
    <row r="37" spans="1:5" ht="12.75">
      <c r="A37" s="73"/>
      <c r="B37" s="73"/>
      <c r="C37" s="89"/>
      <c r="D37" s="89"/>
      <c r="E37" s="89"/>
    </row>
    <row r="38" spans="1:5" ht="12.75">
      <c r="A38" s="73"/>
      <c r="B38" s="73"/>
      <c r="C38" s="89"/>
      <c r="D38" s="89"/>
      <c r="E38" s="89"/>
    </row>
    <row r="39" spans="1:5" ht="12.75">
      <c r="A39" s="73"/>
      <c r="B39" s="73"/>
      <c r="C39" s="89"/>
      <c r="D39" s="89"/>
      <c r="E39" s="89"/>
    </row>
    <row r="40" spans="1:5" ht="12.75">
      <c r="A40" s="73"/>
      <c r="B40" s="73"/>
      <c r="C40" s="89"/>
      <c r="D40" s="89"/>
      <c r="E40" s="89"/>
    </row>
    <row r="41" spans="1:5" ht="12.75">
      <c r="A41" s="73"/>
      <c r="B41" s="73"/>
      <c r="C41" s="89"/>
      <c r="D41" s="89"/>
      <c r="E41" s="89"/>
    </row>
    <row r="42" spans="1:5" ht="12.75">
      <c r="A42" s="73"/>
      <c r="B42" s="73"/>
      <c r="C42" s="89"/>
      <c r="D42" s="89"/>
      <c r="E42" s="89"/>
    </row>
    <row r="43" spans="1:5" ht="12.75">
      <c r="A43" s="73"/>
      <c r="B43" s="73"/>
      <c r="C43" s="89"/>
      <c r="D43" s="89"/>
      <c r="E43" s="89"/>
    </row>
    <row r="44" spans="1:5" ht="12.75">
      <c r="A44" s="73"/>
      <c r="B44" s="73"/>
      <c r="C44" s="89"/>
      <c r="D44" s="89"/>
      <c r="E44" s="89"/>
    </row>
    <row r="45" spans="1:5" ht="12.75">
      <c r="A45" s="73"/>
      <c r="B45" s="73"/>
      <c r="C45" s="89"/>
      <c r="D45" s="89"/>
      <c r="E45" s="89"/>
    </row>
    <row r="46" spans="1:5" ht="12.75">
      <c r="A46" s="73"/>
      <c r="B46" s="73"/>
      <c r="C46" s="89"/>
      <c r="D46" s="89"/>
      <c r="E46" s="89"/>
    </row>
    <row r="47" spans="1:5" ht="12.75">
      <c r="A47" s="73"/>
      <c r="B47" s="73"/>
      <c r="C47" s="89"/>
      <c r="D47" s="89"/>
      <c r="E47" s="89"/>
    </row>
    <row r="48" spans="1:5" ht="12.75">
      <c r="A48" s="73"/>
      <c r="B48" s="73"/>
      <c r="C48" s="89"/>
      <c r="D48" s="89"/>
      <c r="E48" s="89"/>
    </row>
    <row r="49" spans="1:5" ht="12.75">
      <c r="A49" s="73"/>
      <c r="B49" s="73"/>
      <c r="C49" s="89"/>
      <c r="D49" s="89"/>
      <c r="E49" s="89"/>
    </row>
    <row r="50" spans="1:5" ht="12.75">
      <c r="A50" s="73"/>
      <c r="B50" s="73"/>
      <c r="C50" s="89"/>
      <c r="D50" s="89"/>
      <c r="E50" s="89"/>
    </row>
    <row r="51" spans="1:5" ht="12.75">
      <c r="A51" s="73"/>
      <c r="B51" s="73"/>
      <c r="C51" s="89"/>
      <c r="D51" s="89"/>
      <c r="E51" s="89"/>
    </row>
    <row r="52" spans="1:5" ht="12.75">
      <c r="A52" s="73"/>
      <c r="B52" s="73"/>
      <c r="C52" s="89"/>
      <c r="D52" s="89"/>
      <c r="E52" s="89"/>
    </row>
    <row r="53" spans="1:5" ht="12.75">
      <c r="A53" s="73"/>
      <c r="B53" s="73"/>
      <c r="C53" s="89"/>
      <c r="D53" s="89"/>
      <c r="E53" s="89"/>
    </row>
    <row r="54" spans="1:5" ht="12.75">
      <c r="A54" s="73"/>
      <c r="B54" s="73"/>
      <c r="C54" s="89"/>
      <c r="D54" s="89"/>
      <c r="E54" s="89"/>
    </row>
    <row r="55" spans="1:5" ht="12.75">
      <c r="A55" s="73"/>
      <c r="B55" s="73"/>
      <c r="C55" s="89"/>
      <c r="D55" s="89"/>
      <c r="E55" s="89"/>
    </row>
    <row r="56" spans="1:5" ht="12.75">
      <c r="A56" s="73"/>
      <c r="B56" s="73"/>
      <c r="C56" s="89"/>
      <c r="D56" s="89"/>
      <c r="E56" s="89"/>
    </row>
    <row r="57" spans="1:5" ht="12.75">
      <c r="A57" s="73"/>
      <c r="B57" s="73"/>
      <c r="C57" s="89"/>
      <c r="D57" s="89"/>
      <c r="E57" s="89"/>
    </row>
    <row r="58" spans="1:5" ht="12.75">
      <c r="A58" s="73"/>
      <c r="B58" s="73"/>
      <c r="C58" s="89"/>
      <c r="D58" s="89"/>
      <c r="E58" s="89"/>
    </row>
    <row r="59" spans="1:5" ht="12.75">
      <c r="A59" s="73"/>
      <c r="B59" s="73"/>
      <c r="C59" s="89"/>
      <c r="D59" s="89"/>
      <c r="E59" s="89"/>
    </row>
    <row r="60" spans="1:5" ht="12.75">
      <c r="A60" s="73"/>
      <c r="B60" s="73"/>
      <c r="C60" s="89"/>
      <c r="D60" s="89"/>
      <c r="E60" s="89"/>
    </row>
    <row r="61" spans="1:5" ht="12.75">
      <c r="A61" s="73"/>
      <c r="B61" s="73"/>
      <c r="C61" s="89"/>
      <c r="D61" s="89"/>
      <c r="E61" s="89"/>
    </row>
    <row r="62" spans="1:5" ht="12.75">
      <c r="A62" s="73"/>
      <c r="B62" s="73"/>
      <c r="C62" s="89"/>
      <c r="D62" s="89"/>
      <c r="E62" s="89"/>
    </row>
    <row r="63" spans="1:5" ht="12.75">
      <c r="A63" s="73"/>
      <c r="B63" s="73"/>
      <c r="C63" s="89"/>
      <c r="D63" s="89"/>
      <c r="E63" s="89"/>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5">
    <dataValidation type="list" showInputMessage="1" showErrorMessage="1" sqref="A6">
      <formula1>rgCats3B</formula1>
    </dataValidation>
    <dataValidation type="custom" allowBlank="1" showInputMessage="1" showErrorMessage="1" sqref="C6:C19">
      <formula1>IF(ISNUMBER(FIND(".",C6)),LEN(C6)-FIND(".",C6)&lt;=2,TRUE)</formula1>
    </dataValidation>
    <dataValidation type="list" allowBlank="1" showInputMessage="1" showErrorMessage="1" sqref="A7:A19">
      <formula1>rgCats3B</formula1>
    </dataValidation>
    <dataValidation type="custom" allowBlank="1" showInputMessage="1" showErrorMessage="1" sqref="E6:E20">
      <formula1>IF(ISNUMBER(FIND(".",E6)),LEN(E6)-FIND(".",E6)&lt;=2,TRUE)</formula1>
    </dataValidation>
    <dataValidation type="custom" allowBlank="1" showInputMessage="1" showErrorMessage="1" prompt="Round Off. No Decimals" sqref="D6 D7:D19">
      <formula1>IF(ISNUMBER(FIND(".",D6)),LEN(D6)-FIND(".",D6)&lt;=2,TRUE)</formula1>
    </dataValidation>
  </dataValidations>
  <printOptions horizontalCentered="1"/>
  <pageMargins left="0" right="0" top="0.36" bottom="0" header="0" footer="0"/>
  <pageSetup horizontalDpi="600" verticalDpi="600" orientation="landscape" scale="90" r:id="rId1"/>
  <headerFooter alignWithMargins="0">
    <oddFooter>&amp;LNSES Budget Template - Approved&amp;C01/2023&amp;R3A</oddFooter>
  </headerFooter>
</worksheet>
</file>

<file path=xl/worksheets/sheet8.xml><?xml version="1.0" encoding="utf-8"?>
<worksheet xmlns="http://schemas.openxmlformats.org/spreadsheetml/2006/main" xmlns:r="http://schemas.openxmlformats.org/officeDocument/2006/relationships">
  <dimension ref="A1:F63"/>
  <sheetViews>
    <sheetView zoomScalePageLayoutView="0" workbookViewId="0" topLeftCell="A4">
      <selection activeCell="B12" sqref="B12"/>
    </sheetView>
  </sheetViews>
  <sheetFormatPr defaultColWidth="9.140625" defaultRowHeight="12.75"/>
  <cols>
    <col min="1" max="1" width="16.28125" style="18" customWidth="1"/>
    <col min="2" max="2" width="41.57421875" style="18" customWidth="1"/>
    <col min="3" max="3" width="8.140625" style="98" customWidth="1"/>
    <col min="4" max="4" width="14.7109375" style="92" customWidth="1"/>
    <col min="5" max="5" width="15.8515625" style="92" customWidth="1"/>
    <col min="6" max="6" width="50.00390625" style="18" customWidth="1"/>
    <col min="7" max="7" width="9.140625" style="18" customWidth="1"/>
    <col min="8" max="8" width="9.140625" style="18" hidden="1" customWidth="1"/>
    <col min="9" max="16384" width="9.140625" style="18" customWidth="1"/>
  </cols>
  <sheetData>
    <row r="1" spans="1:6" s="23" customFormat="1" ht="18.75" customHeight="1">
      <c r="A1" s="19" t="str">
        <f>clWBTitle</f>
        <v>Nonpublic Special Education School Budget for FY 2024</v>
      </c>
      <c r="B1" s="19"/>
      <c r="C1" s="74"/>
      <c r="D1" s="431" t="s">
        <v>713</v>
      </c>
      <c r="E1" s="431"/>
      <c r="F1" s="75" t="s">
        <v>102</v>
      </c>
    </row>
    <row r="2" spans="1:6" s="23" customFormat="1" ht="15" customHeight="1">
      <c r="A2" s="19" t="str">
        <f>"School"&amp;CHAR(151)&amp;clSchoolName</f>
        <v>School—</v>
      </c>
      <c r="B2" s="19"/>
      <c r="C2" s="74"/>
      <c r="D2" s="74"/>
      <c r="E2" s="74"/>
      <c r="F2" s="76"/>
    </row>
    <row r="3" spans="1:6" s="23" customFormat="1" ht="15" customHeight="1">
      <c r="A3" s="19" t="str">
        <f>"Program"&amp;CHAR(151)&amp;clProgramName</f>
        <v>Program—</v>
      </c>
      <c r="B3" s="19"/>
      <c r="C3" s="77"/>
      <c r="D3" s="78"/>
      <c r="E3" s="78"/>
      <c r="F3" s="80"/>
    </row>
    <row r="4" spans="1:6" s="23" customFormat="1" ht="33.75" customHeight="1" thickBot="1">
      <c r="A4" s="26" t="s">
        <v>16</v>
      </c>
      <c r="B4" s="26"/>
      <c r="C4" s="291"/>
      <c r="D4" s="291"/>
      <c r="E4" s="291"/>
      <c r="F4" s="291"/>
    </row>
    <row r="5" spans="1:6" s="85" customFormat="1" ht="13.5" customHeight="1" thickBot="1">
      <c r="A5" s="386" t="s">
        <v>647</v>
      </c>
      <c r="B5" s="83" t="s">
        <v>646</v>
      </c>
      <c r="C5" s="82" t="s">
        <v>15</v>
      </c>
      <c r="D5" s="83" t="s">
        <v>101</v>
      </c>
      <c r="E5" s="447" t="s">
        <v>763</v>
      </c>
      <c r="F5" s="84" t="s">
        <v>18</v>
      </c>
    </row>
    <row r="6" spans="1:6" ht="23.25" customHeight="1">
      <c r="A6" s="235"/>
      <c r="B6" s="365"/>
      <c r="C6" s="137">
        <v>0</v>
      </c>
      <c r="D6" s="131"/>
      <c r="E6" s="546" t="str">
        <f>IF(D6=0," ",D6/C6)</f>
        <v> </v>
      </c>
      <c r="F6" s="132"/>
    </row>
    <row r="7" spans="1:6" ht="23.25" customHeight="1">
      <c r="A7" s="236"/>
      <c r="B7" s="366"/>
      <c r="C7" s="137"/>
      <c r="D7" s="133"/>
      <c r="E7" s="547" t="str">
        <f>IF(D7=0," ",D7/C7)</f>
        <v> </v>
      </c>
      <c r="F7" s="134"/>
    </row>
    <row r="8" spans="1:6" ht="23.25" customHeight="1">
      <c r="A8" s="236"/>
      <c r="B8" s="366"/>
      <c r="C8" s="137"/>
      <c r="D8" s="133"/>
      <c r="E8" s="547" t="str">
        <f aca="true" t="shared" si="0" ref="E8:E20">IF(D8=0," ",D8/C8)</f>
        <v> </v>
      </c>
      <c r="F8" s="134"/>
    </row>
    <row r="9" spans="1:6" ht="23.25" customHeight="1">
      <c r="A9" s="236"/>
      <c r="B9" s="366"/>
      <c r="C9" s="137"/>
      <c r="D9" s="133"/>
      <c r="E9" s="547" t="str">
        <f t="shared" si="0"/>
        <v> </v>
      </c>
      <c r="F9" s="134"/>
    </row>
    <row r="10" spans="1:6" ht="23.25" customHeight="1">
      <c r="A10" s="236"/>
      <c r="B10" s="366"/>
      <c r="C10" s="137"/>
      <c r="D10" s="133"/>
      <c r="E10" s="547" t="str">
        <f t="shared" si="0"/>
        <v> </v>
      </c>
      <c r="F10" s="134"/>
    </row>
    <row r="11" spans="1:6" ht="23.25" customHeight="1">
      <c r="A11" s="236"/>
      <c r="B11" s="366"/>
      <c r="C11" s="137"/>
      <c r="D11" s="133"/>
      <c r="E11" s="547" t="str">
        <f t="shared" si="0"/>
        <v> </v>
      </c>
      <c r="F11" s="134"/>
    </row>
    <row r="12" spans="1:6" ht="23.25" customHeight="1">
      <c r="A12" s="236"/>
      <c r="B12" s="366"/>
      <c r="C12" s="137"/>
      <c r="D12" s="133"/>
      <c r="E12" s="547" t="str">
        <f t="shared" si="0"/>
        <v> </v>
      </c>
      <c r="F12" s="134"/>
    </row>
    <row r="13" spans="1:6" ht="23.25" customHeight="1">
      <c r="A13" s="236"/>
      <c r="B13" s="366"/>
      <c r="C13" s="137"/>
      <c r="D13" s="133"/>
      <c r="E13" s="547" t="str">
        <f t="shared" si="0"/>
        <v> </v>
      </c>
      <c r="F13" s="134"/>
    </row>
    <row r="14" spans="1:6" ht="23.25" customHeight="1">
      <c r="A14" s="236"/>
      <c r="B14" s="366"/>
      <c r="C14" s="137"/>
      <c r="D14" s="133"/>
      <c r="E14" s="547" t="str">
        <f t="shared" si="0"/>
        <v> </v>
      </c>
      <c r="F14" s="134"/>
    </row>
    <row r="15" spans="1:6" ht="23.25" customHeight="1">
      <c r="A15" s="236"/>
      <c r="B15" s="366"/>
      <c r="C15" s="137"/>
      <c r="D15" s="133"/>
      <c r="E15" s="547" t="str">
        <f t="shared" si="0"/>
        <v> </v>
      </c>
      <c r="F15" s="134"/>
    </row>
    <row r="16" spans="1:6" ht="23.25" customHeight="1">
      <c r="A16" s="236"/>
      <c r="B16" s="366"/>
      <c r="C16" s="137"/>
      <c r="D16" s="133"/>
      <c r="E16" s="547" t="str">
        <f t="shared" si="0"/>
        <v> </v>
      </c>
      <c r="F16" s="134"/>
    </row>
    <row r="17" spans="1:6" ht="23.25" customHeight="1">
      <c r="A17" s="236"/>
      <c r="B17" s="366"/>
      <c r="C17" s="137"/>
      <c r="D17" s="133"/>
      <c r="E17" s="547" t="str">
        <f t="shared" si="0"/>
        <v> </v>
      </c>
      <c r="F17" s="134"/>
    </row>
    <row r="18" spans="1:6" ht="23.25" customHeight="1">
      <c r="A18" s="236"/>
      <c r="B18" s="366"/>
      <c r="C18" s="137"/>
      <c r="D18" s="133"/>
      <c r="E18" s="547" t="str">
        <f t="shared" si="0"/>
        <v> </v>
      </c>
      <c r="F18" s="134"/>
    </row>
    <row r="19" spans="1:6" ht="23.25" customHeight="1" thickBot="1">
      <c r="A19" s="236"/>
      <c r="B19" s="366"/>
      <c r="C19" s="137"/>
      <c r="D19" s="133"/>
      <c r="E19" s="547" t="str">
        <f t="shared" si="0"/>
        <v> </v>
      </c>
      <c r="F19" s="134"/>
    </row>
    <row r="20" spans="1:6" ht="18.75" customHeight="1" thickBot="1">
      <c r="A20" s="766" t="s">
        <v>104</v>
      </c>
      <c r="B20" s="767"/>
      <c r="C20" s="86">
        <f>SUM(C6:C19)</f>
        <v>0</v>
      </c>
      <c r="D20" s="97">
        <f>SUM(D6:D19)</f>
        <v>0</v>
      </c>
      <c r="E20" s="549" t="str">
        <f t="shared" si="0"/>
        <v> </v>
      </c>
      <c r="F20" s="88"/>
    </row>
    <row r="21" spans="1:5" ht="13.5" customHeight="1">
      <c r="A21" s="73"/>
      <c r="B21" s="73"/>
      <c r="C21" s="89"/>
      <c r="D21" s="89"/>
      <c r="E21" s="89"/>
    </row>
    <row r="22" spans="1:5" ht="13.5" customHeight="1">
      <c r="A22" s="73"/>
      <c r="B22" s="73"/>
      <c r="C22" s="89"/>
      <c r="D22" s="89"/>
      <c r="E22" s="89"/>
    </row>
    <row r="23" spans="1:5" ht="13.5" customHeight="1">
      <c r="A23" s="73"/>
      <c r="B23" s="73"/>
      <c r="C23" s="89"/>
      <c r="D23" s="89"/>
      <c r="E23" s="89"/>
    </row>
    <row r="24" spans="1:5" ht="12.75">
      <c r="A24" s="73"/>
      <c r="B24" s="73"/>
      <c r="C24" s="89"/>
      <c r="D24" s="89"/>
      <c r="E24" s="89"/>
    </row>
    <row r="25" spans="1:5" ht="12.75">
      <c r="A25" s="73"/>
      <c r="B25" s="73"/>
      <c r="C25" s="89"/>
      <c r="D25" s="89"/>
      <c r="E25" s="89"/>
    </row>
    <row r="26" spans="1:5" ht="12.75">
      <c r="A26" s="73"/>
      <c r="B26" s="73"/>
      <c r="C26" s="89"/>
      <c r="D26" s="89"/>
      <c r="E26" s="89"/>
    </row>
    <row r="27" spans="1:5" ht="12.75">
      <c r="A27" s="73"/>
      <c r="B27" s="73"/>
      <c r="C27" s="89"/>
      <c r="D27" s="89"/>
      <c r="E27" s="89"/>
    </row>
    <row r="28" spans="1:5" ht="12.75">
      <c r="A28" s="73"/>
      <c r="B28" s="73"/>
      <c r="C28" s="89"/>
      <c r="D28" s="89"/>
      <c r="E28" s="89"/>
    </row>
    <row r="29" spans="1:5" ht="12.75">
      <c r="A29" s="73"/>
      <c r="B29" s="73"/>
      <c r="C29" s="89"/>
      <c r="D29" s="89"/>
      <c r="E29" s="89"/>
    </row>
    <row r="30" spans="1:5" ht="12.75">
      <c r="A30" s="73"/>
      <c r="B30" s="73"/>
      <c r="C30" s="89"/>
      <c r="D30" s="89"/>
      <c r="E30" s="89"/>
    </row>
    <row r="31" spans="1:5" ht="12.75">
      <c r="A31" s="73"/>
      <c r="B31" s="73"/>
      <c r="C31" s="89"/>
      <c r="D31" s="89"/>
      <c r="E31" s="89"/>
    </row>
    <row r="32" spans="1:5" ht="12.75">
      <c r="A32" s="73"/>
      <c r="B32" s="73"/>
      <c r="C32" s="89"/>
      <c r="D32" s="89"/>
      <c r="E32" s="89"/>
    </row>
    <row r="33" spans="1:5" ht="12.75">
      <c r="A33" s="73"/>
      <c r="B33" s="73"/>
      <c r="C33" s="89"/>
      <c r="D33" s="89"/>
      <c r="E33" s="89"/>
    </row>
    <row r="34" spans="1:5" ht="12.75">
      <c r="A34" s="73"/>
      <c r="B34" s="73"/>
      <c r="C34" s="89"/>
      <c r="D34" s="89"/>
      <c r="E34" s="89"/>
    </row>
    <row r="35" spans="1:5" ht="12.75">
      <c r="A35" s="73"/>
      <c r="B35" s="73"/>
      <c r="C35" s="89"/>
      <c r="D35" s="89"/>
      <c r="E35" s="89"/>
    </row>
    <row r="36" spans="1:5" ht="12.75">
      <c r="A36" s="73"/>
      <c r="B36" s="73"/>
      <c r="C36" s="89"/>
      <c r="D36" s="89"/>
      <c r="E36" s="89"/>
    </row>
    <row r="37" spans="1:5" ht="12.75">
      <c r="A37" s="73"/>
      <c r="B37" s="73"/>
      <c r="C37" s="89"/>
      <c r="D37" s="89"/>
      <c r="E37" s="89"/>
    </row>
    <row r="38" spans="1:5" ht="12.75">
      <c r="A38" s="73"/>
      <c r="B38" s="73"/>
      <c r="C38" s="89"/>
      <c r="D38" s="89"/>
      <c r="E38" s="89"/>
    </row>
    <row r="39" spans="1:5" ht="12.75">
      <c r="A39" s="73"/>
      <c r="B39" s="73"/>
      <c r="C39" s="89"/>
      <c r="D39" s="89"/>
      <c r="E39" s="89"/>
    </row>
    <row r="40" spans="1:5" ht="12.75">
      <c r="A40" s="73"/>
      <c r="B40" s="73"/>
      <c r="C40" s="89"/>
      <c r="D40" s="89"/>
      <c r="E40" s="89"/>
    </row>
    <row r="41" spans="1:5" ht="12.75">
      <c r="A41" s="73"/>
      <c r="B41" s="73"/>
      <c r="C41" s="89"/>
      <c r="D41" s="89"/>
      <c r="E41" s="89"/>
    </row>
    <row r="42" spans="1:5" ht="12.75">
      <c r="A42" s="73"/>
      <c r="B42" s="73"/>
      <c r="C42" s="89"/>
      <c r="D42" s="89"/>
      <c r="E42" s="89"/>
    </row>
    <row r="43" spans="1:5" ht="12.75">
      <c r="A43" s="73"/>
      <c r="B43" s="73"/>
      <c r="C43" s="89"/>
      <c r="D43" s="89"/>
      <c r="E43" s="89"/>
    </row>
    <row r="44" spans="1:5" ht="12.75">
      <c r="A44" s="73"/>
      <c r="B44" s="73"/>
      <c r="C44" s="89"/>
      <c r="D44" s="89"/>
      <c r="E44" s="89"/>
    </row>
    <row r="45" spans="1:5" ht="12.75">
      <c r="A45" s="73"/>
      <c r="B45" s="73"/>
      <c r="C45" s="89"/>
      <c r="D45" s="89"/>
      <c r="E45" s="89"/>
    </row>
    <row r="46" spans="1:5" ht="12.75">
      <c r="A46" s="73"/>
      <c r="B46" s="73"/>
      <c r="C46" s="89"/>
      <c r="D46" s="89"/>
      <c r="E46" s="89"/>
    </row>
    <row r="47" spans="1:5" ht="12.75">
      <c r="A47" s="73"/>
      <c r="B47" s="73"/>
      <c r="C47" s="89"/>
      <c r="D47" s="89"/>
      <c r="E47" s="89"/>
    </row>
    <row r="48" spans="1:5" ht="12.75">
      <c r="A48" s="73"/>
      <c r="B48" s="73"/>
      <c r="C48" s="89"/>
      <c r="D48" s="89"/>
      <c r="E48" s="89"/>
    </row>
    <row r="49" spans="1:5" ht="12.75">
      <c r="A49" s="73"/>
      <c r="B49" s="73"/>
      <c r="C49" s="89"/>
      <c r="D49" s="89"/>
      <c r="E49" s="89"/>
    </row>
    <row r="50" spans="1:5" ht="12.75">
      <c r="A50" s="73"/>
      <c r="B50" s="73"/>
      <c r="C50" s="89"/>
      <c r="D50" s="89"/>
      <c r="E50" s="89"/>
    </row>
    <row r="51" spans="1:5" ht="12.75">
      <c r="A51" s="73"/>
      <c r="B51" s="73"/>
      <c r="C51" s="89"/>
      <c r="D51" s="89"/>
      <c r="E51" s="89"/>
    </row>
    <row r="52" spans="1:5" ht="12.75">
      <c r="A52" s="73"/>
      <c r="B52" s="73"/>
      <c r="C52" s="89"/>
      <c r="D52" s="89"/>
      <c r="E52" s="89"/>
    </row>
    <row r="53" spans="1:5" ht="12.75">
      <c r="A53" s="73"/>
      <c r="B53" s="73"/>
      <c r="C53" s="89"/>
      <c r="D53" s="89"/>
      <c r="E53" s="89"/>
    </row>
    <row r="54" spans="1:5" ht="12.75">
      <c r="A54" s="73"/>
      <c r="B54" s="73"/>
      <c r="C54" s="89"/>
      <c r="D54" s="89"/>
      <c r="E54" s="89"/>
    </row>
    <row r="55" spans="1:5" ht="12.75">
      <c r="A55" s="73"/>
      <c r="B55" s="73"/>
      <c r="C55" s="89"/>
      <c r="D55" s="89"/>
      <c r="E55" s="89"/>
    </row>
    <row r="56" spans="1:5" ht="12.75">
      <c r="A56" s="73"/>
      <c r="B56" s="73"/>
      <c r="C56" s="89"/>
      <c r="D56" s="89"/>
      <c r="E56" s="89"/>
    </row>
    <row r="57" spans="1:5" ht="12.75">
      <c r="A57" s="73"/>
      <c r="B57" s="73"/>
      <c r="C57" s="89"/>
      <c r="D57" s="89"/>
      <c r="E57" s="89"/>
    </row>
    <row r="58" spans="1:5" ht="12.75">
      <c r="A58" s="73"/>
      <c r="B58" s="73"/>
      <c r="C58" s="89"/>
      <c r="D58" s="89"/>
      <c r="E58" s="89"/>
    </row>
    <row r="59" spans="1:5" ht="12.75">
      <c r="A59" s="73"/>
      <c r="B59" s="73"/>
      <c r="C59" s="89"/>
      <c r="D59" s="89"/>
      <c r="E59" s="89"/>
    </row>
    <row r="60" spans="1:5" ht="12.75">
      <c r="A60" s="73"/>
      <c r="B60" s="73"/>
      <c r="C60" s="89"/>
      <c r="D60" s="89"/>
      <c r="E60" s="89"/>
    </row>
    <row r="61" spans="1:5" ht="12.75">
      <c r="A61" s="73"/>
      <c r="B61" s="73"/>
      <c r="C61" s="89"/>
      <c r="D61" s="89"/>
      <c r="E61" s="89"/>
    </row>
    <row r="62" spans="1:5" ht="12.75">
      <c r="A62" s="73"/>
      <c r="B62" s="73"/>
      <c r="C62" s="89"/>
      <c r="D62" s="89"/>
      <c r="E62" s="89"/>
    </row>
    <row r="63" spans="1:5" ht="12.75">
      <c r="A63" s="73"/>
      <c r="B63" s="73"/>
      <c r="C63" s="89"/>
      <c r="D63" s="89"/>
      <c r="E63" s="89"/>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4">
    <dataValidation type="list" showInputMessage="1" showErrorMessage="1" sqref="A6">
      <formula1>rgCats3C</formula1>
    </dataValidation>
    <dataValidation type="list" allowBlank="1" showInputMessage="1" showErrorMessage="1" sqref="A7:A19">
      <formula1>rgCats3C</formula1>
    </dataValidation>
    <dataValidation type="custom" allowBlank="1" showInputMessage="1" showErrorMessage="1" sqref="E6:E20 C6:C19">
      <formula1>IF(ISNUMBER(FIND(".",E6)),LEN(E6)-FIND(".",E6)&lt;=2,TRUE)</formula1>
    </dataValidation>
    <dataValidation type="custom" allowBlank="1" showInputMessage="1" showErrorMessage="1" prompt="Round Off. No Decimals" sqref="D6:D19">
      <formula1>IF(ISNUMBER(FIND(".",D6)),LEN(D6)-FIND(".",D6)&lt;=2,TRUE)</formula1>
    </dataValidation>
  </dataValidations>
  <printOptions horizontalCentered="1"/>
  <pageMargins left="0" right="0" top="0.36" bottom="0" header="0" footer="0"/>
  <pageSetup horizontalDpi="600" verticalDpi="600" orientation="landscape" scale="90" r:id="rId1"/>
  <headerFooter alignWithMargins="0">
    <oddFooter>&amp;LNSES Budget Template - Approved&amp;C01/2023&amp;R3B</oddFooter>
  </headerFooter>
  <ignoredErrors>
    <ignoredError sqref="E8:E18 E20 E19" unlockedFormula="1"/>
  </ignoredErrors>
</worksheet>
</file>

<file path=xl/worksheets/sheet9.xml><?xml version="1.0" encoding="utf-8"?>
<worksheet xmlns="http://schemas.openxmlformats.org/spreadsheetml/2006/main" xmlns:r="http://schemas.openxmlformats.org/officeDocument/2006/relationships">
  <dimension ref="A1:F63"/>
  <sheetViews>
    <sheetView zoomScalePageLayoutView="0" workbookViewId="0" topLeftCell="A4">
      <selection activeCell="B10" sqref="B10"/>
    </sheetView>
  </sheetViews>
  <sheetFormatPr defaultColWidth="9.140625" defaultRowHeight="12.75"/>
  <cols>
    <col min="1" max="1" width="16.28125" style="18" customWidth="1"/>
    <col min="2" max="2" width="41.57421875" style="18" customWidth="1"/>
    <col min="3" max="3" width="8.140625" style="98" customWidth="1"/>
    <col min="4" max="4" width="14.7109375" style="92" customWidth="1"/>
    <col min="5" max="5" width="15.8515625" style="92" customWidth="1"/>
    <col min="6" max="6" width="50.00390625" style="18" customWidth="1"/>
    <col min="7" max="7" width="9.140625" style="18" customWidth="1"/>
    <col min="8" max="8" width="0.2890625" style="18" hidden="1" customWidth="1"/>
    <col min="9" max="16384" width="9.140625" style="18" customWidth="1"/>
  </cols>
  <sheetData>
    <row r="1" spans="1:6" s="23" customFormat="1" ht="18.75" customHeight="1">
      <c r="A1" s="19" t="str">
        <f>clWBTitle</f>
        <v>Nonpublic Special Education School Budget for FY 2024</v>
      </c>
      <c r="B1" s="19"/>
      <c r="C1" s="74"/>
      <c r="D1" s="431" t="s">
        <v>713</v>
      </c>
      <c r="E1" s="431"/>
      <c r="F1" s="75" t="s">
        <v>103</v>
      </c>
    </row>
    <row r="2" spans="1:6" s="23" customFormat="1" ht="15" customHeight="1">
      <c r="A2" s="19" t="str">
        <f>"School"&amp;CHAR(151)&amp;clSchoolName</f>
        <v>School—</v>
      </c>
      <c r="B2" s="19"/>
      <c r="C2" s="74"/>
      <c r="D2" s="74"/>
      <c r="E2" s="74"/>
      <c r="F2" s="76"/>
    </row>
    <row r="3" spans="1:6" s="23" customFormat="1" ht="15" customHeight="1">
      <c r="A3" s="19" t="str">
        <f>"Program"&amp;CHAR(151)&amp;clProgramName</f>
        <v>Program—</v>
      </c>
      <c r="B3" s="19"/>
      <c r="C3" s="77"/>
      <c r="D3" s="78"/>
      <c r="E3" s="78"/>
      <c r="F3" s="80"/>
    </row>
    <row r="4" spans="1:5" s="23" customFormat="1" ht="33.75" customHeight="1" thickBot="1">
      <c r="A4" s="26" t="s">
        <v>786</v>
      </c>
      <c r="B4" s="26"/>
      <c r="C4" s="26"/>
      <c r="D4" s="81"/>
      <c r="E4" s="81"/>
    </row>
    <row r="5" spans="1:6" s="85" customFormat="1" ht="13.5" customHeight="1" thickBot="1">
      <c r="A5" s="386" t="s">
        <v>647</v>
      </c>
      <c r="B5" s="83" t="s">
        <v>646</v>
      </c>
      <c r="C5" s="82" t="s">
        <v>15</v>
      </c>
      <c r="D5" s="83" t="s">
        <v>101</v>
      </c>
      <c r="E5" s="447" t="s">
        <v>763</v>
      </c>
      <c r="F5" s="84" t="s">
        <v>18</v>
      </c>
    </row>
    <row r="6" spans="1:6" ht="23.25" customHeight="1">
      <c r="A6" s="235"/>
      <c r="B6" s="365"/>
      <c r="C6" s="137">
        <v>0</v>
      </c>
      <c r="D6" s="131">
        <v>0</v>
      </c>
      <c r="E6" s="546" t="str">
        <f>IF(D6=0," ",D6/C6)</f>
        <v> </v>
      </c>
      <c r="F6" s="132"/>
    </row>
    <row r="7" spans="1:6" ht="23.25" customHeight="1">
      <c r="A7" s="236"/>
      <c r="B7" s="366"/>
      <c r="C7" s="137"/>
      <c r="D7" s="133"/>
      <c r="E7" s="547" t="str">
        <f aca="true" t="shared" si="0" ref="E7:E20">IF(D7=0," ",D7/C7)</f>
        <v> </v>
      </c>
      <c r="F7" s="134"/>
    </row>
    <row r="8" spans="1:6" ht="23.25" customHeight="1">
      <c r="A8" s="236"/>
      <c r="B8" s="366"/>
      <c r="C8" s="137"/>
      <c r="D8" s="133"/>
      <c r="E8" s="547" t="str">
        <f t="shared" si="0"/>
        <v> </v>
      </c>
      <c r="F8" s="134"/>
    </row>
    <row r="9" spans="1:6" ht="23.25" customHeight="1">
      <c r="A9" s="236"/>
      <c r="B9" s="366"/>
      <c r="C9" s="137"/>
      <c r="D9" s="133"/>
      <c r="E9" s="547" t="str">
        <f t="shared" si="0"/>
        <v> </v>
      </c>
      <c r="F9" s="134"/>
    </row>
    <row r="10" spans="1:6" ht="23.25" customHeight="1">
      <c r="A10" s="236"/>
      <c r="B10" s="366"/>
      <c r="C10" s="137"/>
      <c r="D10" s="133"/>
      <c r="E10" s="547" t="str">
        <f t="shared" si="0"/>
        <v> </v>
      </c>
      <c r="F10" s="134"/>
    </row>
    <row r="11" spans="1:6" ht="23.25" customHeight="1">
      <c r="A11" s="236"/>
      <c r="B11" s="366"/>
      <c r="C11" s="137"/>
      <c r="D11" s="133"/>
      <c r="E11" s="547" t="str">
        <f t="shared" si="0"/>
        <v> </v>
      </c>
      <c r="F11" s="134"/>
    </row>
    <row r="12" spans="1:6" ht="23.25" customHeight="1">
      <c r="A12" s="236"/>
      <c r="B12" s="366"/>
      <c r="C12" s="137"/>
      <c r="D12" s="133"/>
      <c r="E12" s="547" t="str">
        <f t="shared" si="0"/>
        <v> </v>
      </c>
      <c r="F12" s="134"/>
    </row>
    <row r="13" spans="1:6" ht="23.25" customHeight="1">
      <c r="A13" s="236"/>
      <c r="B13" s="366"/>
      <c r="C13" s="137"/>
      <c r="D13" s="133"/>
      <c r="E13" s="547" t="str">
        <f t="shared" si="0"/>
        <v> </v>
      </c>
      <c r="F13" s="134"/>
    </row>
    <row r="14" spans="1:6" ht="23.25" customHeight="1">
      <c r="A14" s="236"/>
      <c r="B14" s="366"/>
      <c r="C14" s="137"/>
      <c r="D14" s="133"/>
      <c r="E14" s="547" t="str">
        <f t="shared" si="0"/>
        <v> </v>
      </c>
      <c r="F14" s="134"/>
    </row>
    <row r="15" spans="1:6" ht="23.25" customHeight="1">
      <c r="A15" s="236"/>
      <c r="B15" s="366"/>
      <c r="C15" s="137"/>
      <c r="D15" s="133"/>
      <c r="E15" s="547" t="str">
        <f t="shared" si="0"/>
        <v> </v>
      </c>
      <c r="F15" s="134"/>
    </row>
    <row r="16" spans="1:6" ht="23.25" customHeight="1">
      <c r="A16" s="236"/>
      <c r="B16" s="366"/>
      <c r="C16" s="137"/>
      <c r="D16" s="133"/>
      <c r="E16" s="547" t="str">
        <f t="shared" si="0"/>
        <v> </v>
      </c>
      <c r="F16" s="134"/>
    </row>
    <row r="17" spans="1:6" ht="23.25" customHeight="1">
      <c r="A17" s="236"/>
      <c r="B17" s="366"/>
      <c r="C17" s="137"/>
      <c r="D17" s="133"/>
      <c r="E17" s="547" t="str">
        <f t="shared" si="0"/>
        <v> </v>
      </c>
      <c r="F17" s="134"/>
    </row>
    <row r="18" spans="1:6" ht="23.25" customHeight="1">
      <c r="A18" s="236"/>
      <c r="B18" s="366"/>
      <c r="C18" s="137"/>
      <c r="D18" s="133"/>
      <c r="E18" s="547" t="str">
        <f t="shared" si="0"/>
        <v> </v>
      </c>
      <c r="F18" s="134"/>
    </row>
    <row r="19" spans="1:6" ht="23.25" customHeight="1" thickBot="1">
      <c r="A19" s="236"/>
      <c r="B19" s="367"/>
      <c r="C19" s="137"/>
      <c r="D19" s="135"/>
      <c r="E19" s="548" t="str">
        <f t="shared" si="0"/>
        <v> </v>
      </c>
      <c r="F19" s="136"/>
    </row>
    <row r="20" spans="1:6" ht="18.75" customHeight="1" thickBot="1">
      <c r="A20" s="766" t="s">
        <v>106</v>
      </c>
      <c r="B20" s="767"/>
      <c r="C20" s="86">
        <f>SUM(C6:C19)</f>
        <v>0</v>
      </c>
      <c r="D20" s="97">
        <f>SUM(D6:D19)</f>
        <v>0</v>
      </c>
      <c r="E20" s="549" t="str">
        <f t="shared" si="0"/>
        <v> </v>
      </c>
      <c r="F20" s="88"/>
    </row>
    <row r="21" spans="1:5" ht="13.5" customHeight="1">
      <c r="A21" s="73"/>
      <c r="B21" s="73"/>
      <c r="C21" s="89"/>
      <c r="D21" s="89"/>
      <c r="E21" s="89"/>
    </row>
    <row r="22" spans="1:5" ht="13.5" customHeight="1">
      <c r="A22" s="73"/>
      <c r="B22" s="73"/>
      <c r="C22" s="89"/>
      <c r="D22" s="89"/>
      <c r="E22" s="89"/>
    </row>
    <row r="23" spans="1:5" ht="13.5" customHeight="1">
      <c r="A23" s="73"/>
      <c r="B23" s="73"/>
      <c r="C23" s="89"/>
      <c r="D23" s="89"/>
      <c r="E23" s="89"/>
    </row>
    <row r="24" spans="1:5" ht="12.75">
      <c r="A24" s="73"/>
      <c r="B24" s="73"/>
      <c r="C24" s="89"/>
      <c r="D24" s="89"/>
      <c r="E24" s="89"/>
    </row>
    <row r="25" spans="1:5" ht="12.75">
      <c r="A25" s="73"/>
      <c r="B25" s="73"/>
      <c r="C25" s="89"/>
      <c r="D25" s="89"/>
      <c r="E25" s="89"/>
    </row>
    <row r="26" spans="1:5" ht="12.75">
      <c r="A26" s="73"/>
      <c r="B26" s="73"/>
      <c r="C26" s="89"/>
      <c r="D26" s="89"/>
      <c r="E26" s="89"/>
    </row>
    <row r="27" spans="1:5" ht="12.75">
      <c r="A27" s="73"/>
      <c r="B27" s="73"/>
      <c r="C27" s="89"/>
      <c r="D27" s="89"/>
      <c r="E27" s="89"/>
    </row>
    <row r="28" spans="1:5" ht="12.75">
      <c r="A28" s="73"/>
      <c r="B28" s="73"/>
      <c r="C28" s="89"/>
      <c r="D28" s="89"/>
      <c r="E28" s="89"/>
    </row>
    <row r="29" spans="1:5" ht="12.75">
      <c r="A29" s="73"/>
      <c r="B29" s="73"/>
      <c r="C29" s="89"/>
      <c r="D29" s="89"/>
      <c r="E29" s="89"/>
    </row>
    <row r="30" spans="1:5" ht="12.75">
      <c r="A30" s="73"/>
      <c r="B30" s="73"/>
      <c r="C30" s="89"/>
      <c r="D30" s="89"/>
      <c r="E30" s="89"/>
    </row>
    <row r="31" spans="1:5" ht="12.75">
      <c r="A31" s="73"/>
      <c r="B31" s="73"/>
      <c r="C31" s="89"/>
      <c r="D31" s="89"/>
      <c r="E31" s="89"/>
    </row>
    <row r="32" spans="1:5" ht="12.75">
      <c r="A32" s="73"/>
      <c r="B32" s="73"/>
      <c r="C32" s="89"/>
      <c r="D32" s="89"/>
      <c r="E32" s="89"/>
    </row>
    <row r="33" spans="1:5" ht="12.75">
      <c r="A33" s="73"/>
      <c r="B33" s="73"/>
      <c r="C33" s="89"/>
      <c r="D33" s="89"/>
      <c r="E33" s="89"/>
    </row>
    <row r="34" spans="1:5" ht="12.75">
      <c r="A34" s="73"/>
      <c r="B34" s="73"/>
      <c r="C34" s="89"/>
      <c r="D34" s="89"/>
      <c r="E34" s="89"/>
    </row>
    <row r="35" spans="1:5" ht="12.75">
      <c r="A35" s="73"/>
      <c r="B35" s="73"/>
      <c r="C35" s="89"/>
      <c r="D35" s="89"/>
      <c r="E35" s="89"/>
    </row>
    <row r="36" spans="1:5" ht="12.75">
      <c r="A36" s="73"/>
      <c r="B36" s="73"/>
      <c r="C36" s="89"/>
      <c r="D36" s="89"/>
      <c r="E36" s="89"/>
    </row>
    <row r="37" spans="1:5" ht="12.75">
      <c r="A37" s="73"/>
      <c r="B37" s="73"/>
      <c r="C37" s="89"/>
      <c r="D37" s="89"/>
      <c r="E37" s="89"/>
    </row>
    <row r="38" spans="1:5" ht="12.75">
      <c r="A38" s="73"/>
      <c r="B38" s="73"/>
      <c r="C38" s="89"/>
      <c r="D38" s="89"/>
      <c r="E38" s="89"/>
    </row>
    <row r="39" spans="1:5" ht="12.75">
      <c r="A39" s="73"/>
      <c r="B39" s="73"/>
      <c r="C39" s="89"/>
      <c r="D39" s="89"/>
      <c r="E39" s="89"/>
    </row>
    <row r="40" spans="1:5" ht="12.75">
      <c r="A40" s="73"/>
      <c r="B40" s="73"/>
      <c r="C40" s="89"/>
      <c r="D40" s="89"/>
      <c r="E40" s="89"/>
    </row>
    <row r="41" spans="1:5" ht="12.75">
      <c r="A41" s="73"/>
      <c r="B41" s="73"/>
      <c r="C41" s="89"/>
      <c r="D41" s="89"/>
      <c r="E41" s="89"/>
    </row>
    <row r="42" spans="1:5" ht="12.75">
      <c r="A42" s="73"/>
      <c r="B42" s="73"/>
      <c r="C42" s="89"/>
      <c r="D42" s="89"/>
      <c r="E42" s="89"/>
    </row>
    <row r="43" spans="1:5" ht="12.75">
      <c r="A43" s="73"/>
      <c r="B43" s="73"/>
      <c r="C43" s="89"/>
      <c r="D43" s="89"/>
      <c r="E43" s="89"/>
    </row>
    <row r="44" spans="1:5" ht="12.75">
      <c r="A44" s="73"/>
      <c r="B44" s="73"/>
      <c r="C44" s="89"/>
      <c r="D44" s="89"/>
      <c r="E44" s="89"/>
    </row>
    <row r="45" spans="1:5" ht="12.75">
      <c r="A45" s="73"/>
      <c r="B45" s="73"/>
      <c r="C45" s="89"/>
      <c r="D45" s="89"/>
      <c r="E45" s="89"/>
    </row>
    <row r="46" spans="1:5" ht="12.75">
      <c r="A46" s="73"/>
      <c r="B46" s="73"/>
      <c r="C46" s="89"/>
      <c r="D46" s="89"/>
      <c r="E46" s="89"/>
    </row>
    <row r="47" spans="1:5" ht="12.75">
      <c r="A47" s="73"/>
      <c r="B47" s="73"/>
      <c r="C47" s="89"/>
      <c r="D47" s="89"/>
      <c r="E47" s="89"/>
    </row>
    <row r="48" spans="1:5" ht="12.75">
      <c r="A48" s="73"/>
      <c r="B48" s="73"/>
      <c r="C48" s="89"/>
      <c r="D48" s="89"/>
      <c r="E48" s="89"/>
    </row>
    <row r="49" spans="1:5" ht="12.75">
      <c r="A49" s="73"/>
      <c r="B49" s="73"/>
      <c r="C49" s="89"/>
      <c r="D49" s="89"/>
      <c r="E49" s="89"/>
    </row>
    <row r="50" spans="1:5" ht="12.75">
      <c r="A50" s="73"/>
      <c r="B50" s="73"/>
      <c r="C50" s="89"/>
      <c r="D50" s="89"/>
      <c r="E50" s="89"/>
    </row>
    <row r="51" spans="1:5" ht="12.75">
      <c r="A51" s="73"/>
      <c r="B51" s="73"/>
      <c r="C51" s="89"/>
      <c r="D51" s="89"/>
      <c r="E51" s="89"/>
    </row>
    <row r="52" spans="1:5" ht="12.75">
      <c r="A52" s="73"/>
      <c r="B52" s="73"/>
      <c r="C52" s="89"/>
      <c r="D52" s="89"/>
      <c r="E52" s="89"/>
    </row>
    <row r="53" spans="1:5" ht="12.75">
      <c r="A53" s="73"/>
      <c r="B53" s="73"/>
      <c r="C53" s="89"/>
      <c r="D53" s="89"/>
      <c r="E53" s="89"/>
    </row>
    <row r="54" spans="1:5" ht="12.75">
      <c r="A54" s="73"/>
      <c r="B54" s="73"/>
      <c r="C54" s="89"/>
      <c r="D54" s="89"/>
      <c r="E54" s="89"/>
    </row>
    <row r="55" spans="1:5" ht="12.75">
      <c r="A55" s="73"/>
      <c r="B55" s="73"/>
      <c r="C55" s="89"/>
      <c r="D55" s="89"/>
      <c r="E55" s="89"/>
    </row>
    <row r="56" spans="1:5" ht="12.75">
      <c r="A56" s="73"/>
      <c r="B56" s="73"/>
      <c r="C56" s="89"/>
      <c r="D56" s="89"/>
      <c r="E56" s="89"/>
    </row>
    <row r="57" spans="1:5" ht="12.75">
      <c r="A57" s="73"/>
      <c r="B57" s="73"/>
      <c r="C57" s="89"/>
      <c r="D57" s="89"/>
      <c r="E57" s="89"/>
    </row>
    <row r="58" spans="1:5" ht="12.75">
      <c r="A58" s="73"/>
      <c r="B58" s="73"/>
      <c r="C58" s="89"/>
      <c r="D58" s="89"/>
      <c r="E58" s="89"/>
    </row>
    <row r="59" spans="1:5" ht="12.75">
      <c r="A59" s="73"/>
      <c r="B59" s="73"/>
      <c r="C59" s="89"/>
      <c r="D59" s="89"/>
      <c r="E59" s="89"/>
    </row>
    <row r="60" spans="1:5" ht="12.75">
      <c r="A60" s="73"/>
      <c r="B60" s="73"/>
      <c r="C60" s="89"/>
      <c r="D60" s="89"/>
      <c r="E60" s="89"/>
    </row>
    <row r="61" spans="1:5" ht="12.75">
      <c r="A61" s="73"/>
      <c r="B61" s="73"/>
      <c r="C61" s="89"/>
      <c r="D61" s="89"/>
      <c r="E61" s="89"/>
    </row>
    <row r="62" spans="1:5" ht="12.75">
      <c r="A62" s="73"/>
      <c r="B62" s="73"/>
      <c r="C62" s="89"/>
      <c r="D62" s="89"/>
      <c r="E62" s="89"/>
    </row>
    <row r="63" spans="1:5" ht="12.75">
      <c r="A63" s="73"/>
      <c r="B63" s="73"/>
      <c r="C63" s="89"/>
      <c r="D63" s="89"/>
      <c r="E63" s="89"/>
    </row>
  </sheetData>
  <sheetProtection password="860F" sheet="1" selectLockedCells="1"/>
  <mergeCells count="1">
    <mergeCell ref="A20:B20"/>
  </mergeCells>
  <conditionalFormatting sqref="A6:A19">
    <cfRule type="expression" priority="1" dxfId="6" stopIfTrue="1">
      <formula>IF(LEFT(A6,4)="Misc",TRUE,FALSE)</formula>
    </cfRule>
  </conditionalFormatting>
  <conditionalFormatting sqref="B6:B19">
    <cfRule type="expression" priority="2" dxfId="6" stopIfTrue="1">
      <formula>IF(LEFT(A6,4)="Misc",TRUE,FALSE)</formula>
    </cfRule>
  </conditionalFormatting>
  <dataValidations count="4">
    <dataValidation type="list" allowBlank="1" showInputMessage="1" showErrorMessage="1" sqref="A6:A19">
      <formula1>rgCats3D</formula1>
    </dataValidation>
    <dataValidation allowBlank="1" showInputMessage="1" showErrorMessage="1" sqref="B6:B19"/>
    <dataValidation type="custom" allowBlank="1" showInputMessage="1" showErrorMessage="1" sqref="E6:E20 C6:C19">
      <formula1>IF(ISNUMBER(FIND(".",E6)),LEN(E6)-FIND(".",E6)&lt;=2,TRUE)</formula1>
    </dataValidation>
    <dataValidation type="custom" allowBlank="1" showInputMessage="1" showErrorMessage="1" prompt="Round Off. No Decimals" sqref="D6:D19">
      <formula1>IF(ISNUMBER(FIND(".",D6)),LEN(D6)-FIND(".",D6)&lt;=2,TRUE)</formula1>
    </dataValidation>
  </dataValidations>
  <printOptions horizontalCentered="1"/>
  <pageMargins left="0" right="0" top="0.36" bottom="0" header="0" footer="0"/>
  <pageSetup horizontalDpi="600" verticalDpi="600" orientation="landscape" scale="90" r:id="rId1"/>
  <headerFooter alignWithMargins="0">
    <oddFooter>&amp;LNSES Budget Template - Approved&amp;C01/2023&amp;R3C</oddFooter>
  </headerFooter>
  <ignoredErrors>
    <ignoredError sqref="E6:E17 E18 E19:E2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NPP Budget--MSDE Template</dc:title>
  <dc:subject/>
  <dc:creator>Camillus Ugwu</dc:creator>
  <cp:keywords/>
  <dc:description/>
  <cp:lastModifiedBy>Windows User</cp:lastModifiedBy>
  <cp:lastPrinted>2022-01-26T13:11:10Z</cp:lastPrinted>
  <dcterms:created xsi:type="dcterms:W3CDTF">2000-10-25T16:12:52Z</dcterms:created>
  <dcterms:modified xsi:type="dcterms:W3CDTF">2023-01-18T15:00:08Z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622000.000000000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