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165" windowWidth="12120" windowHeight="9090" tabRatio="867" firstSheet="2" activeTab="20"/>
  </bookViews>
  <sheets>
    <sheet name="table 1" sheetId="1" r:id="rId1"/>
    <sheet name="table 2" sheetId="2" r:id="rId2"/>
    <sheet name="table3" sheetId="3" r:id="rId3"/>
    <sheet name="table4" sheetId="4" r:id="rId4"/>
    <sheet name="table5" sheetId="5" r:id="rId5"/>
    <sheet name="table 6" sheetId="6" r:id="rId6"/>
    <sheet name="state1" sheetId="7" r:id="rId7"/>
    <sheet name="state2" sheetId="8" r:id="rId8"/>
    <sheet name="state3" sheetId="9" r:id="rId9"/>
    <sheet name="state4" sheetId="10" r:id="rId10"/>
    <sheet name="state4a" sheetId="11" r:id="rId11"/>
    <sheet name="state5" sheetId="12" r:id="rId12"/>
    <sheet name="fed1" sheetId="13" r:id="rId13"/>
    <sheet name="fed2" sheetId="14" r:id="rId14"/>
    <sheet name="fed3" sheetId="15" r:id="rId15"/>
    <sheet name="fed4" sheetId="16" r:id="rId16"/>
    <sheet name="fed5" sheetId="17" r:id="rId17"/>
    <sheet name="table9" sheetId="18" r:id="rId18"/>
    <sheet name="table 10" sheetId="19" r:id="rId19"/>
    <sheet name="table11" sheetId="20" r:id="rId20"/>
    <sheet name="Table12" sheetId="21" r:id="rId21"/>
  </sheets>
  <definedNames>
    <definedName name="_xlnm.Print_Area" localSheetId="6">'state1'!$A$1:$N$39</definedName>
    <definedName name="_xlnm.Print_Area" localSheetId="11">'state5'!$A$1:$F$37</definedName>
    <definedName name="_xlnm.Print_Area" localSheetId="0">'table 1'!$A$1:$L$41</definedName>
    <definedName name="_xlnm.Print_Area" localSheetId="5">'table 6'!$A$1:$P$40</definedName>
    <definedName name="_xlnm.Print_Area" localSheetId="19">'table11'!$A$1:$J$43</definedName>
    <definedName name="_xlnm.Print_Area" localSheetId="2">'table3'!$A$1:$L$41</definedName>
    <definedName name="_xlnm.Print_Area" localSheetId="3">'table4'!$A$1:$K$39</definedName>
  </definedNames>
  <calcPr fullCalcOnLoad="1"/>
</workbook>
</file>

<file path=xl/sharedStrings.xml><?xml version="1.0" encoding="utf-8"?>
<sst xmlns="http://schemas.openxmlformats.org/spreadsheetml/2006/main" count="1069" uniqueCount="373">
  <si>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</si>
  <si>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</si>
  <si>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</si>
  <si>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</si>
  <si>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</si>
  <si>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</si>
  <si>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</si>
  <si>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</si>
  <si>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</si>
  <si>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</si>
  <si>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</si>
  <si>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</si>
  <si>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</si>
  <si>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</si>
  <si>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</si>
  <si>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</si>
  <si>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</si>
  <si>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</si>
  <si>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</si>
  <si>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</si>
  <si>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</si>
  <si>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</si>
  <si>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</si>
  <si>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</si>
  <si>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</si>
  <si>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</si>
  <si>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Technology</t>
  </si>
  <si>
    <t>Care</t>
  </si>
  <si>
    <t>Targeted</t>
  </si>
  <si>
    <t>Compensatory Education</t>
  </si>
  <si>
    <t>Suicide</t>
  </si>
  <si>
    <t>Teen</t>
  </si>
  <si>
    <t>Child</t>
  </si>
  <si>
    <t>Abuse</t>
  </si>
  <si>
    <t>Nonpublic</t>
  </si>
  <si>
    <t>Placements</t>
  </si>
  <si>
    <t>Gifted</t>
  </si>
  <si>
    <t>and</t>
  </si>
  <si>
    <t>Talented</t>
  </si>
  <si>
    <t>Environ-</t>
  </si>
  <si>
    <t>mental</t>
  </si>
  <si>
    <t>Education</t>
  </si>
  <si>
    <t>School</t>
  </si>
  <si>
    <t>Community</t>
  </si>
  <si>
    <t>Centers</t>
  </si>
  <si>
    <t>Extended</t>
  </si>
  <si>
    <t>Elementary</t>
  </si>
  <si>
    <t>Other</t>
  </si>
  <si>
    <t>Service</t>
  </si>
  <si>
    <t>tion</t>
  </si>
  <si>
    <t>Debt</t>
  </si>
  <si>
    <t>Table 7</t>
  </si>
  <si>
    <t>Total</t>
  </si>
  <si>
    <t>State</t>
  </si>
  <si>
    <t>Funds</t>
  </si>
  <si>
    <t>Current Expense Fund</t>
  </si>
  <si>
    <t>Current Expense Aid</t>
  </si>
  <si>
    <t>Unrestricted</t>
  </si>
  <si>
    <t>Preven-</t>
  </si>
  <si>
    <t>Preg-</t>
  </si>
  <si>
    <t>nancy</t>
  </si>
  <si>
    <t>Current Expense Fund (continued)</t>
  </si>
  <si>
    <t>Fund</t>
  </si>
  <si>
    <t>Current</t>
  </si>
  <si>
    <t>Expense</t>
  </si>
  <si>
    <t>Federal</t>
  </si>
  <si>
    <t>Miscellaneous</t>
  </si>
  <si>
    <t>Migrants</t>
  </si>
  <si>
    <t>Preschool</t>
  </si>
  <si>
    <t>Act</t>
  </si>
  <si>
    <t>Homeless</t>
  </si>
  <si>
    <t>Elementary and Secondary Education Act</t>
  </si>
  <si>
    <t>Title 1</t>
  </si>
  <si>
    <t>Concentration</t>
  </si>
  <si>
    <t>Even</t>
  </si>
  <si>
    <t>Start</t>
  </si>
  <si>
    <t>Program</t>
  </si>
  <si>
    <t>Basic and</t>
  </si>
  <si>
    <t>Grants</t>
  </si>
  <si>
    <t>Assistance</t>
  </si>
  <si>
    <t>Innovative</t>
  </si>
  <si>
    <t>Educational</t>
  </si>
  <si>
    <t>Strategies</t>
  </si>
  <si>
    <t>Literacy</t>
  </si>
  <si>
    <t>Services</t>
  </si>
  <si>
    <t>Individuals with Disabilities Act</t>
  </si>
  <si>
    <t>Basic</t>
  </si>
  <si>
    <t>Tech</t>
  </si>
  <si>
    <t>Prep</t>
  </si>
  <si>
    <t>Nutrition Act</t>
  </si>
  <si>
    <t>National</t>
  </si>
  <si>
    <t>Stewart B.</t>
  </si>
  <si>
    <t>McKinney</t>
  </si>
  <si>
    <t>Value of</t>
  </si>
  <si>
    <t>Commodities</t>
  </si>
  <si>
    <t>Food Service Programs</t>
  </si>
  <si>
    <t>Impact</t>
  </si>
  <si>
    <t>Aid</t>
  </si>
  <si>
    <t>Lunch/Child</t>
  </si>
  <si>
    <t>Local</t>
  </si>
  <si>
    <t>Appropriation</t>
  </si>
  <si>
    <t>Non-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</si>
  <si>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</si>
  <si>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</si>
  <si>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</si>
  <si>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</si>
  <si>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</si>
  <si>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</si>
  <si>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</si>
  <si>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</si>
  <si>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</si>
  <si>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Table 6</t>
  </si>
  <si>
    <t>Children's</t>
  </si>
  <si>
    <t>Payments</t>
  </si>
  <si>
    <t>Sales</t>
  </si>
  <si>
    <t>Table 9</t>
  </si>
  <si>
    <t>State Share</t>
  </si>
  <si>
    <t>Table 10</t>
  </si>
  <si>
    <t>(B)</t>
  </si>
  <si>
    <t>(C)</t>
  </si>
  <si>
    <t xml:space="preserve">                                         </t>
  </si>
  <si>
    <t>Table 3</t>
  </si>
  <si>
    <t>Cash</t>
  </si>
  <si>
    <t>Other*</t>
  </si>
  <si>
    <t xml:space="preserve">* Included are taxable income, real and public utility property assessments for state purposes, and 50% of personal property assessments for county purposes; public </t>
  </si>
  <si>
    <t xml:space="preserve">  utility shares and one-half semi-annual are excluded.</t>
  </si>
  <si>
    <t>Table 7 (continued)</t>
  </si>
  <si>
    <t>Safe and</t>
  </si>
  <si>
    <t>Drug Free</t>
  </si>
  <si>
    <t>Table 8</t>
  </si>
  <si>
    <t>Table 8 (continued)</t>
  </si>
  <si>
    <t>Disruptive</t>
  </si>
  <si>
    <t>Youth</t>
  </si>
  <si>
    <t>Innovative Programs</t>
  </si>
  <si>
    <t>Schools</t>
  </si>
  <si>
    <t>Adult Education</t>
  </si>
  <si>
    <t>External</t>
  </si>
  <si>
    <t>Diploma</t>
  </si>
  <si>
    <t>Works</t>
  </si>
  <si>
    <t>Science/</t>
  </si>
  <si>
    <t>Math</t>
  </si>
  <si>
    <t>Near County</t>
  </si>
  <si>
    <t>Lines</t>
  </si>
  <si>
    <t>Agency</t>
  </si>
  <si>
    <t>(Excluding State-Paid Teachers' Retirement)</t>
  </si>
  <si>
    <t>Adult</t>
  </si>
  <si>
    <t xml:space="preserve">Title II - </t>
  </si>
  <si>
    <t xml:space="preserve">Indian </t>
  </si>
  <si>
    <t>Improvement</t>
  </si>
  <si>
    <t>Title II</t>
  </si>
  <si>
    <t>Title III</t>
  </si>
  <si>
    <t>Title VI</t>
  </si>
  <si>
    <t>Title XIX</t>
  </si>
  <si>
    <t>National &amp;</t>
  </si>
  <si>
    <t>Medical</t>
  </si>
  <si>
    <t xml:space="preserve">  Non-</t>
  </si>
  <si>
    <t>(Including State-Paid Teachers' Retirement)</t>
  </si>
  <si>
    <t>USDA</t>
  </si>
  <si>
    <t>State Grant</t>
  </si>
  <si>
    <t>Communities</t>
  </si>
  <si>
    <t>Neglected</t>
  </si>
  <si>
    <t>Delinquent</t>
  </si>
  <si>
    <t>SAFE</t>
  </si>
  <si>
    <t>Poverty I</t>
  </si>
  <si>
    <t>Out of County</t>
  </si>
  <si>
    <t>Living - Foster</t>
  </si>
  <si>
    <t>Student Transportation</t>
  </si>
  <si>
    <t>Other State Revenue</t>
  </si>
  <si>
    <t xml:space="preserve"> </t>
  </si>
  <si>
    <t>Combined Grants</t>
  </si>
  <si>
    <t>LEA School System Support</t>
  </si>
  <si>
    <t>Intervention Initiative</t>
  </si>
  <si>
    <t>Cigarette</t>
  </si>
  <si>
    <t>Restitution</t>
  </si>
  <si>
    <t>Character</t>
  </si>
  <si>
    <t>Social</t>
  </si>
  <si>
    <t>Security Act</t>
  </si>
  <si>
    <t>Public Services</t>
  </si>
  <si>
    <t>Health Act</t>
  </si>
  <si>
    <t>Sexual</t>
  </si>
  <si>
    <t>System Reform Initiative</t>
  </si>
  <si>
    <t xml:space="preserve">State Share of Teachers' Retirement </t>
  </si>
  <si>
    <t>Provisional Teacher Development</t>
  </si>
  <si>
    <t>Pilot Integrated Student Support Services</t>
  </si>
  <si>
    <t>School Library Media Incentive</t>
  </si>
  <si>
    <t>Targeted Improvement Program</t>
  </si>
  <si>
    <t>Teacher Development Program</t>
  </si>
  <si>
    <t>Teacher Mentoring Programs</t>
  </si>
  <si>
    <t>Limited English Proficient</t>
  </si>
  <si>
    <t>Regular Transportation</t>
  </si>
  <si>
    <t>Transportation of Students with Disibilities</t>
  </si>
  <si>
    <t>DHMH-Tobacco Prevention</t>
  </si>
  <si>
    <t>Continuing Education</t>
  </si>
  <si>
    <t>Tobacco Tax Revenue</t>
  </si>
  <si>
    <t>Local      Education Agency</t>
  </si>
  <si>
    <t>Teacher Stipends &amp; Bonuses</t>
  </si>
  <si>
    <t>Reconsitution</t>
  </si>
  <si>
    <t xml:space="preserve">Teacher Mentoring </t>
  </si>
  <si>
    <t>Annapolis Road Middle School</t>
  </si>
  <si>
    <t>Education Modernization</t>
  </si>
  <si>
    <t>Rural School Nurses</t>
  </si>
  <si>
    <t>Hoyer Funds II</t>
  </si>
  <si>
    <t>Hoyer General Funds</t>
  </si>
  <si>
    <t>Hoyer</t>
  </si>
  <si>
    <t>Staff Development Centers</t>
  </si>
  <si>
    <t>Smith Island</t>
  </si>
  <si>
    <t>School Boat</t>
  </si>
  <si>
    <t>PreK to 3rd Grade Initiative</t>
  </si>
  <si>
    <t>Effective Schools Program</t>
  </si>
  <si>
    <t>Foundation Program</t>
  </si>
  <si>
    <t>Local Education Agency</t>
  </si>
  <si>
    <t>Regional Difference</t>
  </si>
  <si>
    <t>Per Student Foundation Program</t>
  </si>
  <si>
    <t>Wealth Per Student</t>
  </si>
  <si>
    <t>Total Foundation Program minus Local Share                 ( S1)</t>
  </si>
  <si>
    <t>Wealth Per Student - Table 9</t>
  </si>
  <si>
    <t>Minimum Grant</t>
  </si>
  <si>
    <t>Total Grant - Greater of Adjusted or Minimum Calculation</t>
  </si>
  <si>
    <t xml:space="preserve">Infants &amp; Toddlers </t>
  </si>
  <si>
    <t>Class Size Initiative</t>
  </si>
  <si>
    <t>Fine Arts Initiative</t>
  </si>
  <si>
    <t>Schools for Success</t>
  </si>
  <si>
    <t>Children At Risk</t>
  </si>
  <si>
    <t>Governor Teacher Salary Challenge Program</t>
  </si>
  <si>
    <t>English Language Acquisition</t>
  </si>
  <si>
    <t>Improving Teacher Quality State Grants</t>
  </si>
  <si>
    <t>TITLE II</t>
  </si>
  <si>
    <t>Part B - Math &amp; Sciences</t>
  </si>
  <si>
    <t xml:space="preserve">Reading </t>
  </si>
  <si>
    <t>First</t>
  </si>
  <si>
    <t>NOAA Environmental Education</t>
  </si>
  <si>
    <t>National Science Foundation Grants</t>
  </si>
  <si>
    <t>Other Earnings</t>
  </si>
  <si>
    <t>on Investment</t>
  </si>
  <si>
    <t>Charles*</t>
  </si>
  <si>
    <t>Grant for Specific Population</t>
  </si>
  <si>
    <t>Guaranteed</t>
  </si>
  <si>
    <t>Tax</t>
  </si>
  <si>
    <t>Base</t>
  </si>
  <si>
    <t xml:space="preserve">LEA </t>
  </si>
  <si>
    <t>Administration</t>
  </si>
  <si>
    <t>Charter School</t>
  </si>
  <si>
    <t>Transition to Teaching</t>
  </si>
  <si>
    <t>Refugee &amp; Entrant Assistance</t>
  </si>
  <si>
    <t>Carl T. Perkins - Career and Technology</t>
  </si>
  <si>
    <t>Teachers</t>
  </si>
  <si>
    <t>Unadjusted Grant Calculation</t>
  </si>
  <si>
    <t>Additional Grant to Adjusted Calculation</t>
  </si>
  <si>
    <t>School Performance Recognition Awards</t>
  </si>
  <si>
    <t>Disabled Children</t>
  </si>
  <si>
    <t>21st Century Community Learning Centers</t>
  </si>
  <si>
    <t xml:space="preserve">Greater </t>
  </si>
  <si>
    <t>of (S1) or ( S2)</t>
  </si>
  <si>
    <t>Students</t>
  </si>
  <si>
    <t>Revenue from All Sources for Current Expenses*:   Maryland Public Schools:  2005 - 2006</t>
  </si>
  <si>
    <t>Revenue from the State for Maryland Public School Purposes: 2005 - 2006</t>
  </si>
  <si>
    <t>Christa McAuliff Fellowship</t>
  </si>
  <si>
    <t>*Charles County Local Appropriation for Food Services Program ($232,432.55) is being included in Other Local Revenue</t>
  </si>
  <si>
    <t>Revenue from All Sources* for Maryland Public Schools:  2005 - 2006</t>
  </si>
  <si>
    <t>Revenue from All Sources for School Construction:  Maryland Public Schools:  2005 - 2006</t>
  </si>
  <si>
    <t>Revenue from All Sources for Debt Service*:  Maryland Public Schools:  2005 - 2006</t>
  </si>
  <si>
    <t>Revenue from All Sources for Food Service Operations:  Maryland Public Schools:  2005 - 2006</t>
  </si>
  <si>
    <t>Revenue from the State for Maryland Public School Purposes:  2005 - 2006</t>
  </si>
  <si>
    <t>Revenue from the Federal Government for Maryland Public Schools:  2005 - 2006</t>
  </si>
  <si>
    <t>Enrollment  09-30-2004</t>
  </si>
  <si>
    <t>Total Foundation Program (Enrollment X $5,497)</t>
  </si>
  <si>
    <t>Minimum State Share  = Foundation Progam x .22                 (S2)</t>
  </si>
  <si>
    <t>Local Share         ( Local Wealth X .85820%)</t>
  </si>
  <si>
    <t>X $2,186</t>
  </si>
  <si>
    <t>Grant Adjusted Calculation        @ .7766269</t>
  </si>
  <si>
    <t>(B) / [(C)/$318,810]</t>
  </si>
  <si>
    <t>(B) X 70%</t>
  </si>
  <si>
    <t>SOURCE:  MSDE final calculations for the Major State Aid Programs for Fiscal Year 2006</t>
  </si>
  <si>
    <t xml:space="preserve">                The FY 2006 Appropriation does not include funding for a regional adjustment - Geographic Cost of Education Indexing.</t>
  </si>
  <si>
    <t>Total Local Wealth *</t>
  </si>
  <si>
    <t>Table 11</t>
  </si>
  <si>
    <t>Assessed Valuation per Pupil Belonging and per Capita:  State of Maryland:  2005 - 2006</t>
  </si>
  <si>
    <t>Valuation for</t>
  </si>
  <si>
    <t>Number</t>
  </si>
  <si>
    <t>Assessed</t>
  </si>
  <si>
    <t>Local Purposes</t>
  </si>
  <si>
    <t>of Pupils</t>
  </si>
  <si>
    <t>Valuation</t>
  </si>
  <si>
    <t>(Thousands)</t>
  </si>
  <si>
    <t>per Pupil</t>
  </si>
  <si>
    <t>per Capita</t>
  </si>
  <si>
    <t>Census 2000</t>
  </si>
  <si>
    <t>Maryland</t>
  </si>
  <si>
    <t>Allegany County</t>
  </si>
  <si>
    <t>Anne Arundel County</t>
  </si>
  <si>
    <t>Baltimore city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</si>
  <si>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</si>
  <si>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</si>
  <si>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</si>
  <si>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</si>
  <si>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</si>
  <si>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</si>
  <si>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</si>
  <si>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</si>
  <si>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</si>
  <si>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</si>
  <si>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</si>
  <si>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</si>
  <si>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</si>
  <si>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</si>
  <si>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</si>
  <si>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</si>
  <si>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</si>
  <si>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</si>
  <si>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</si>
  <si>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</si>
  <si>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</si>
  <si>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Table 12</t>
  </si>
  <si>
    <t>Local Appropriations for Public Schools as a Percent of Assessed Valuation</t>
  </si>
  <si>
    <t>Maryland Public Schools:  2005 - 2006</t>
  </si>
  <si>
    <t>Local Appropriations in Dollars</t>
  </si>
  <si>
    <t>Local Appropriations in Percent of Assessed Valuation</t>
  </si>
  <si>
    <t xml:space="preserve">Current </t>
  </si>
  <si>
    <t>All</t>
  </si>
  <si>
    <t>Expenses</t>
  </si>
  <si>
    <t>Construc-</t>
  </si>
  <si>
    <t>Expenses*</t>
  </si>
  <si>
    <t>10-31-2004 Eligible FARMS Students</t>
  </si>
  <si>
    <t>*  Includes revenue from the following funds:  Current Expense, School Construction, Debt Service, and Food Service.</t>
  </si>
  <si>
    <r>
      <t xml:space="preserve">*** </t>
    </r>
    <r>
      <rPr>
        <sz val="10"/>
        <rFont val="Arial"/>
        <family val="0"/>
      </rPr>
      <t>Includes the following:  tuition, transportation fees, transfers from school units in other states, and other miscellaneous revenue.</t>
    </r>
  </si>
  <si>
    <t>Appropriation**</t>
  </si>
  <si>
    <r>
      <t>Other</t>
    </r>
    <r>
      <rPr>
        <sz val="10"/>
        <rFont val="WP TypographicSymbols"/>
        <family val="0"/>
      </rPr>
      <t xml:space="preserve"> ***</t>
    </r>
  </si>
  <si>
    <t>Other**</t>
  </si>
  <si>
    <t>**  Charles County Local Appropriation for Food Services Program ($232,432.55) is reclassified out of  Other Local Revenue to the total Local Appropriation column.</t>
  </si>
  <si>
    <t>revenue ***</t>
  </si>
  <si>
    <t xml:space="preserve">***  Baltimore City Public Schools  appropriated $7,725,372.30  for debt servicing within the Current Expenses Fund; this amount is classified here as local </t>
  </si>
  <si>
    <t xml:space="preserve">     appropriation although reported as interfund transfer.</t>
  </si>
  <si>
    <t>*    Includes revenue to meet principal and interest obligations.</t>
  </si>
  <si>
    <t>**   Includes miscellaneous other revenue.</t>
  </si>
  <si>
    <t>Other***</t>
  </si>
  <si>
    <t>**  Excludes Baltimore City Public Schools  $7,725,372.30 appropriated within the Current Expenses Fund,but transferred to Debt Service Fund..</t>
  </si>
  <si>
    <t>*    Includes federal and state revenue for food service operations; excludes sale of meals and value of USDA commodities.</t>
  </si>
  <si>
    <t>**  Excludes Baltimore City Public Schools  $7,725,372.30 appropriated within the Current Expenses Fund,but transferred to Debt Service Fund.</t>
  </si>
  <si>
    <t>** Includes other resources from sales of property/equipment, net insurance recovery, sales of bonds, state loans, transfers in, but excludes interfund transfers.</t>
  </si>
  <si>
    <t>*   Includes earnings on investments, rental income, and other miscellaneous revenue.</t>
  </si>
  <si>
    <t>revenue**</t>
  </si>
  <si>
    <t>** Nonrevenue includes earnings on investment, rental income, and other miscellaneous revenue, but excludes interfund transfers</t>
  </si>
  <si>
    <t>Baltimore City Partnership</t>
  </si>
  <si>
    <t>Revenue from the State for Maryland Public School Purposes:  2005-2006</t>
  </si>
  <si>
    <t>Food Service Fund</t>
  </si>
  <si>
    <t>School Construction Fund</t>
  </si>
  <si>
    <t>Debt Service Fund</t>
  </si>
  <si>
    <t>Revenue from the Federal Government for Maryland Public Schools:  2005-2006</t>
  </si>
  <si>
    <t>Comprehensive School Reform Demonstration</t>
  </si>
  <si>
    <t>Part B</t>
  </si>
  <si>
    <t xml:space="preserve">Part H Infants &amp; Toddlers </t>
  </si>
  <si>
    <t>Job Trainig &amp; Partnership Act</t>
  </si>
  <si>
    <t>Gaining Early Awareness &amp; Readiness</t>
  </si>
  <si>
    <t xml:space="preserve"> Temporary Assistance for Needy Families</t>
  </si>
  <si>
    <t>Foundation Current Expense Formula Aid for Maryland Public Schools:  2005-2006</t>
  </si>
  <si>
    <t>NOTE:  Audit adjustments are not included.</t>
  </si>
  <si>
    <t>State Compensatory Education Aid for Maryland Public Schools:  2005-2006</t>
  </si>
  <si>
    <t>SOURCE:  MSDE final calculations for the Major State Aid Programs for Fiscal Year 2006 --released on June 9, 2005.</t>
  </si>
  <si>
    <t>* Assessed</t>
  </si>
  <si>
    <t>Belonging**</t>
  </si>
  <si>
    <t xml:space="preserve">     and Taxation - Base estimate date: March 31, 2005. </t>
  </si>
  <si>
    <t>**   Half-time kindergarten and prekindergarten pupils are expressed in full-time equivalents in arriving at per pupil costs.</t>
  </si>
  <si>
    <r>
      <t xml:space="preserve">July 1, 2005 Population Estimates </t>
    </r>
    <r>
      <rPr>
        <sz val="10"/>
        <rFont val="Arial"/>
        <family val="2"/>
      </rPr>
      <t>***</t>
    </r>
  </si>
  <si>
    <t xml:space="preserve">     Source: US Census Bureau, Population Estimate Program -- http://www.census.gov/popest/estimates.php</t>
  </si>
  <si>
    <t>*    Excerpt from Table III - County Assessable Base for the Tax Year beginning July 1, 2005 -- Maryland State Department of Assessment</t>
  </si>
  <si>
    <t>*** Excerpt from Maryland by County GCT-T1 Population Estimates - April 1, 2000 Estimates Base ( Adjusted Census 2000)</t>
  </si>
  <si>
    <t>*</t>
  </si>
  <si>
    <r>
      <t>*</t>
    </r>
    <r>
      <rPr>
        <sz val="10"/>
        <rFont val="Arial"/>
        <family val="0"/>
      </rPr>
      <t>Current Expense includes Charles County Appropriations of $232,432.55 for Food Service Fund.</t>
    </r>
  </si>
  <si>
    <t>County Assessable Base</t>
  </si>
  <si>
    <t>July 1, 2005</t>
  </si>
  <si>
    <t>Higher Education Act - Advanced Placement Fees</t>
  </si>
  <si>
    <t>Non-revenue</t>
  </si>
  <si>
    <t>Non-revenue**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</si>
</sst>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\ ;\(&quot;$&quot;#,##0\)"/>
    <numFmt numFmtId="170" formatCode="&quot;$&quot;#,##0.00\ ;\(&quot;$&quot;#,##0.00\)"/>
    <numFmt numFmtId="171" formatCode="#,##0.000"/>
    <numFmt numFmtId="172" formatCode="#,##0.0000"/>
    <numFmt numFmtId="173" formatCode="&quot;$&quot;#,##0.0\ ;\(&quot;$&quot;#,##0.0\)"/>
    <numFmt numFmtId="174" formatCode="_(* #,##0.0_);_(* \(#,##0.0\);_(* &quot;-&quot;?_);_(@_)"/>
    <numFmt numFmtId="175" formatCode="0.000%"/>
    <numFmt numFmtId="176" formatCode="0.0000%"/>
    <numFmt numFmtId="177" formatCode="0.00000%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??_);_(@_)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&quot;$&quot;#,##0"/>
    <numFmt numFmtId="191" formatCode="_(&quot;$&quot;* #,##0.0_);_(&quot;$&quot;* \(#,##0.0\);_(&quot;$&quot;* &quot;-&quot;_);_(@_)"/>
    <numFmt numFmtId="192" formatCode="_(&quot;$&quot;* #,##0.00_);_(&quot;$&quot;* \(#,##0.00\);_(&quot;$&quot;* &quot;-&quot;_);_(@_)"/>
    <numFmt numFmtId="193" formatCode="_(&quot;$&quot;* #,##0.000_);_(&quot;$&quot;* \(#,##0.000\);_(&quot;$&quot;* &quot;-&quot;_);_(@_)"/>
    <numFmt numFmtId="194" formatCode="m/d"/>
    <numFmt numFmtId="195" formatCode="mmmm\ d\,\ yyyy"/>
    <numFmt numFmtId="196" formatCode="_(* #,##0.0000_);_(* \(#,##0.0000\);_(* &quot;-&quot;??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.00000_);_(* \(#,##0.00000\);_(* &quot;-&quot;?????_);_(@_)"/>
    <numFmt numFmtId="201" formatCode="[$€-2]\ #,##0.00_);[Red]\([$€-2]\ #,##0.00\)"/>
    <numFmt numFmtId="202" formatCode="_(* #,##0.0000_);_(* \(#,##0.0000\);_(* &quot;-&quot;??_);_(@_)"/>
  </numFmts>
  <fonts count="11">
    <font>
      <sz val="10"/>
      <name val="Arial"/>
      <family val="0"/>
    </font>
    <font>
      <sz val="10"/>
      <name val="Times New Roman"/>
      <family val="0"/>
    </font>
    <font>
      <sz val="10"/>
      <name val="WP TypographicSymbols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2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7" fontId="0" fillId="0" borderId="0" xfId="17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0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Border="1" applyAlignment="1">
      <alignment/>
    </xf>
    <xf numFmtId="17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3" fontId="0" fillId="0" borderId="5" xfId="0" applyFont="1" applyBorder="1" applyAlignment="1">
      <alignment/>
    </xf>
    <xf numFmtId="172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indent="3"/>
    </xf>
    <xf numFmtId="3" fontId="0" fillId="0" borderId="0" xfId="0" applyNumberFormat="1" applyFont="1" applyBorder="1" applyAlignment="1">
      <alignment/>
    </xf>
    <xf numFmtId="165" fontId="0" fillId="0" borderId="0" xfId="15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0" fillId="0" borderId="0" xfId="15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7" fontId="0" fillId="0" borderId="0" xfId="17" applyNumberFormat="1" applyAlignment="1">
      <alignment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49" fontId="0" fillId="0" borderId="0" xfId="17" applyNumberFormat="1" applyBorder="1" applyAlignment="1">
      <alignment/>
    </xf>
    <xf numFmtId="167" fontId="0" fillId="0" borderId="0" xfId="17" applyNumberFormat="1" applyAlignment="1">
      <alignment horizontal="left" indent="2"/>
    </xf>
    <xf numFmtId="167" fontId="0" fillId="0" borderId="0" xfId="17" applyNumberFormat="1" applyAlignment="1">
      <alignment horizontal="left" indent="3"/>
    </xf>
    <xf numFmtId="0" fontId="0" fillId="0" borderId="2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9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43" fontId="0" fillId="0" borderId="0" xfId="15" applyFont="1" applyBorder="1" applyAlignment="1">
      <alignment/>
    </xf>
    <xf numFmtId="169" fontId="0" fillId="0" borderId="0" xfId="0" applyFont="1" applyBorder="1" applyAlignment="1">
      <alignment horizontal="left" indent="2"/>
    </xf>
    <xf numFmtId="170" fontId="0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67" fontId="0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167" fontId="3" fillId="0" borderId="0" xfId="17" applyNumberFormat="1" applyFont="1" applyBorder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17" applyNumberFormat="1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0" fontId="0" fillId="0" borderId="0" xfId="0" applyFont="1" applyAlignment="1">
      <alignment horizontal="right"/>
    </xf>
    <xf numFmtId="43" fontId="0" fillId="0" borderId="0" xfId="15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43" fontId="0" fillId="0" borderId="0" xfId="15" applyFont="1" applyBorder="1" applyAlignment="1">
      <alignment horizontal="center"/>
    </xf>
    <xf numFmtId="0" fontId="0" fillId="0" borderId="2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0" fillId="0" borderId="2" xfId="15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3" fontId="0" fillId="0" borderId="0" xfId="15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4" fontId="3" fillId="0" borderId="0" xfId="17" applyNumberFormat="1" applyFont="1" applyBorder="1" applyAlignment="1">
      <alignment/>
    </xf>
    <xf numFmtId="0" fontId="0" fillId="0" borderId="0" xfId="0" applyFill="1" applyAlignment="1">
      <alignment/>
    </xf>
    <xf numFmtId="44" fontId="0" fillId="0" borderId="0" xfId="17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43" fontId="0" fillId="0" borderId="0" xfId="15" applyBorder="1" applyAlignment="1">
      <alignment/>
    </xf>
    <xf numFmtId="43" fontId="0" fillId="0" borderId="1" xfId="15" applyBorder="1" applyAlignment="1">
      <alignment horizontal="center"/>
    </xf>
    <xf numFmtId="43" fontId="0" fillId="0" borderId="0" xfId="15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 applyProtection="1">
      <alignment/>
      <protection locked="0"/>
    </xf>
    <xf numFmtId="43" fontId="3" fillId="0" borderId="0" xfId="15" applyFont="1" applyBorder="1" applyAlignment="1">
      <alignment/>
    </xf>
    <xf numFmtId="0" fontId="0" fillId="0" borderId="0" xfId="0" applyFill="1" applyBorder="1" applyAlignment="1">
      <alignment/>
    </xf>
    <xf numFmtId="165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65" fontId="0" fillId="0" borderId="0" xfId="15" applyNumberFormat="1" applyFont="1" applyBorder="1" applyAlignment="1">
      <alignment horizontal="center" wrapText="1"/>
    </xf>
    <xf numFmtId="165" fontId="0" fillId="0" borderId="0" xfId="15" applyNumberFormat="1" applyFill="1" applyBorder="1" applyAlignment="1">
      <alignment horizontal="right" vertical="top" wrapText="1"/>
    </xf>
    <xf numFmtId="165" fontId="0" fillId="0" borderId="0" xfId="15" applyNumberFormat="1" applyFont="1" applyFill="1" applyAlignment="1">
      <alignment/>
    </xf>
    <xf numFmtId="165" fontId="5" fillId="0" borderId="0" xfId="15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3" fontId="0" fillId="0" borderId="0" xfId="0" applyBorder="1" applyAlignment="1">
      <alignment/>
    </xf>
    <xf numFmtId="3" fontId="0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5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Font="1" applyFill="1" applyAlignment="1">
      <alignment/>
    </xf>
    <xf numFmtId="167" fontId="0" fillId="0" borderId="0" xfId="17" applyNumberFormat="1" applyFont="1" applyAlignment="1">
      <alignment/>
    </xf>
    <xf numFmtId="167" fontId="0" fillId="0" borderId="0" xfId="17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17" applyNumberFormat="1" applyFont="1" applyFill="1" applyBorder="1" applyAlignment="1">
      <alignment horizontal="center"/>
    </xf>
    <xf numFmtId="165" fontId="0" fillId="0" borderId="0" xfId="15" applyNumberFormat="1" applyFont="1" applyFill="1" applyBorder="1" applyAlignment="1">
      <alignment horizontal="center"/>
    </xf>
    <xf numFmtId="44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165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2" xfId="15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67" fontId="0" fillId="0" borderId="0" xfId="17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7" fontId="0" fillId="0" borderId="0" xfId="17" applyNumberFormat="1" applyFon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4" fontId="0" fillId="0" borderId="0" xfId="17" applyFont="1" applyBorder="1" applyAlignment="1">
      <alignment/>
    </xf>
    <xf numFmtId="44" fontId="0" fillId="0" borderId="0" xfId="0" applyNumberFormat="1" applyAlignment="1">
      <alignment/>
    </xf>
    <xf numFmtId="165" fontId="0" fillId="0" borderId="0" xfId="15" applyNumberFormat="1" applyFont="1" applyFill="1" applyAlignment="1">
      <alignment/>
    </xf>
    <xf numFmtId="41" fontId="0" fillId="0" borderId="0" xfId="15" applyNumberFormat="1" applyFont="1" applyAlignment="1">
      <alignment/>
    </xf>
    <xf numFmtId="41" fontId="0" fillId="0" borderId="0" xfId="15" applyNumberFormat="1" applyFont="1" applyFill="1" applyAlignment="1">
      <alignment/>
    </xf>
    <xf numFmtId="0" fontId="0" fillId="0" borderId="0" xfId="0" applyFont="1" applyAlignment="1">
      <alignment/>
    </xf>
    <xf numFmtId="3" fontId="0" fillId="0" borderId="0" xfId="0" applyFont="1" applyAlignment="1">
      <alignment horizontal="center"/>
    </xf>
    <xf numFmtId="3" fontId="0" fillId="0" borderId="2" xfId="0" applyFont="1" applyBorder="1" applyAlignment="1">
      <alignment horizontal="center"/>
    </xf>
    <xf numFmtId="49" fontId="0" fillId="0" borderId="0" xfId="17" applyNumberFormat="1" applyFont="1" applyBorder="1" applyAlignment="1">
      <alignment/>
    </xf>
    <xf numFmtId="42" fontId="0" fillId="0" borderId="0" xfId="17" applyNumberFormat="1" applyFont="1" applyBorder="1" applyAlignment="1">
      <alignment/>
    </xf>
    <xf numFmtId="167" fontId="0" fillId="0" borderId="0" xfId="17" applyNumberFormat="1" applyFont="1" applyAlignment="1">
      <alignment/>
    </xf>
    <xf numFmtId="0" fontId="0" fillId="0" borderId="2" xfId="0" applyFont="1" applyBorder="1" applyAlignment="1">
      <alignment horizontal="center" wrapText="1"/>
    </xf>
    <xf numFmtId="42" fontId="0" fillId="0" borderId="0" xfId="17" applyNumberFormat="1" applyFont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41" fontId="0" fillId="0" borderId="0" xfId="0" applyNumberFormat="1" applyFont="1" applyFill="1" applyAlignment="1">
      <alignment/>
    </xf>
    <xf numFmtId="3" fontId="0" fillId="0" borderId="3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6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3" fontId="0" fillId="0" borderId="2" xfId="15" applyNumberFormat="1" applyFont="1" applyBorder="1" applyAlignment="1">
      <alignment horizontal="center"/>
    </xf>
    <xf numFmtId="42" fontId="0" fillId="0" borderId="0" xfId="17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167" fontId="0" fillId="0" borderId="0" xfId="17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167" fontId="5" fillId="0" borderId="0" xfId="17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Border="1" applyAlignment="1">
      <alignment/>
    </xf>
    <xf numFmtId="4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15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5" fillId="0" borderId="4" xfId="0" applyNumberFormat="1" applyFont="1" applyBorder="1" applyAlignment="1">
      <alignment/>
    </xf>
    <xf numFmtId="43" fontId="5" fillId="0" borderId="4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0" fontId="5" fillId="0" borderId="0" xfId="0" applyFont="1" applyAlignment="1">
      <alignment/>
    </xf>
    <xf numFmtId="41" fontId="5" fillId="0" borderId="0" xfId="15" applyNumberFormat="1" applyFont="1" applyAlignment="1">
      <alignment/>
    </xf>
    <xf numFmtId="4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41" fontId="9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165" fontId="0" fillId="0" borderId="0" xfId="15" applyNumberFormat="1" applyFont="1" applyFill="1" applyAlignment="1">
      <alignment/>
    </xf>
    <xf numFmtId="41" fontId="0" fillId="0" borderId="0" xfId="15" applyNumberFormat="1" applyFont="1" applyAlignment="1">
      <alignment/>
    </xf>
    <xf numFmtId="165" fontId="0" fillId="0" borderId="0" xfId="15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4" fontId="0" fillId="0" borderId="0" xfId="17" applyAlignment="1">
      <alignment horizontal="right" vertical="top"/>
    </xf>
    <xf numFmtId="165" fontId="0" fillId="0" borderId="0" xfId="15" applyNumberFormat="1" applyFont="1" applyAlignment="1">
      <alignment horizontal="right" vertical="top"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41" fontId="0" fillId="0" borderId="0" xfId="0" applyNumberFormat="1" applyFont="1" applyAlignment="1">
      <alignment/>
    </xf>
    <xf numFmtId="165" fontId="0" fillId="0" borderId="4" xfId="15" applyNumberFormat="1" applyFont="1" applyBorder="1" applyAlignment="1">
      <alignment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left" vertical="top"/>
    </xf>
    <xf numFmtId="165" fontId="0" fillId="0" borderId="0" xfId="15" applyNumberFormat="1" applyFont="1" applyFill="1" applyBorder="1" applyAlignment="1">
      <alignment horizontal="left" vertical="top" wrapText="1"/>
    </xf>
    <xf numFmtId="41" fontId="4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4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 indent="3"/>
    </xf>
    <xf numFmtId="3" fontId="0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7" fontId="0" fillId="0" borderId="0" xfId="17" applyNumberFormat="1" applyFont="1" applyFill="1" applyBorder="1" applyAlignment="1">
      <alignment/>
    </xf>
    <xf numFmtId="43" fontId="0" fillId="0" borderId="0" xfId="15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7" fontId="0" fillId="0" borderId="0" xfId="17" applyNumberFormat="1" applyFont="1" applyAlignment="1">
      <alignment horizontal="left" indent="2"/>
    </xf>
    <xf numFmtId="0" fontId="0" fillId="0" borderId="0" xfId="0" applyFont="1" applyAlignment="1">
      <alignment horizontal="center"/>
    </xf>
    <xf numFmtId="42" fontId="0" fillId="0" borderId="0" xfId="0" applyNumberFormat="1" applyFont="1" applyAlignment="1">
      <alignment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165" fontId="0" fillId="0" borderId="0" xfId="15" applyNumberFormat="1" applyFont="1" applyFill="1" applyAlignment="1">
      <alignment horizontal="right" vertical="top"/>
    </xf>
    <xf numFmtId="165" fontId="0" fillId="0" borderId="4" xfId="0" applyNumberFormat="1" applyBorder="1" applyAlignment="1">
      <alignment/>
    </xf>
    <xf numFmtId="43" fontId="0" fillId="0" borderId="4" xfId="15" applyNumberFormat="1" applyBorder="1" applyAlignment="1">
      <alignment/>
    </xf>
    <xf numFmtId="10" fontId="0" fillId="0" borderId="0" xfId="0" applyNumberFormat="1" applyAlignment="1">
      <alignment/>
    </xf>
    <xf numFmtId="44" fontId="0" fillId="0" borderId="0" xfId="17" applyAlignment="1">
      <alignment/>
    </xf>
    <xf numFmtId="43" fontId="0" fillId="0" borderId="0" xfId="15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42" fontId="0" fillId="0" borderId="0" xfId="17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44" fontId="0" fillId="0" borderId="0" xfId="17" applyNumberFormat="1" applyFont="1" applyBorder="1" applyAlignment="1">
      <alignment/>
    </xf>
    <xf numFmtId="0" fontId="0" fillId="0" borderId="0" xfId="0" applyAlignment="1">
      <alignment horizontal="left" vertical="top"/>
    </xf>
    <xf numFmtId="44" fontId="0" fillId="0" borderId="0" xfId="17" applyAlignment="1">
      <alignment horizontal="left" vertical="top"/>
    </xf>
    <xf numFmtId="0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4" xfId="0" applyNumberFormat="1" applyFont="1" applyFill="1" applyBorder="1" applyAlignment="1">
      <alignment/>
    </xf>
    <xf numFmtId="43" fontId="0" fillId="0" borderId="4" xfId="15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67" fontId="0" fillId="0" borderId="0" xfId="17" applyNumberFormat="1" applyFont="1" applyBorder="1" applyAlignment="1">
      <alignment/>
    </xf>
    <xf numFmtId="43" fontId="0" fillId="0" borderId="4" xfId="15" applyFont="1" applyBorder="1" applyAlignment="1">
      <alignment/>
    </xf>
    <xf numFmtId="42" fontId="0" fillId="0" borderId="0" xfId="17" applyNumberFormat="1" applyFont="1" applyFill="1" applyBorder="1" applyAlignment="1">
      <alignment horizontal="center"/>
    </xf>
    <xf numFmtId="42" fontId="0" fillId="0" borderId="0" xfId="17" applyNumberFormat="1" applyFont="1" applyBorder="1" applyAlignment="1">
      <alignment horizontal="right"/>
    </xf>
    <xf numFmtId="42" fontId="0" fillId="0" borderId="0" xfId="15" applyNumberFormat="1" applyFont="1" applyFill="1" applyAlignment="1">
      <alignment/>
    </xf>
    <xf numFmtId="42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Fill="1" applyAlignment="1">
      <alignment horizontal="center"/>
    </xf>
    <xf numFmtId="165" fontId="0" fillId="0" borderId="2" xfId="15" applyNumberFormat="1" applyFont="1" applyFill="1" applyBorder="1" applyAlignment="1">
      <alignment horizontal="center"/>
    </xf>
    <xf numFmtId="49" fontId="0" fillId="0" borderId="0" xfId="17" applyNumberFormat="1" applyFont="1" applyBorder="1" applyAlignment="1">
      <alignment/>
    </xf>
    <xf numFmtId="42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165" fontId="0" fillId="0" borderId="0" xfId="15" applyNumberFormat="1" applyFont="1" applyFill="1" applyAlignment="1">
      <alignment/>
    </xf>
    <xf numFmtId="44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43" fontId="0" fillId="0" borderId="0" xfId="15" applyFont="1" applyBorder="1" applyAlignment="1">
      <alignment wrapText="1"/>
    </xf>
    <xf numFmtId="165" fontId="0" fillId="0" borderId="0" xfId="15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7" fontId="0" fillId="0" borderId="0" xfId="17" applyNumberFormat="1" applyFon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0" xfId="15" applyNumberFormat="1" applyFont="1" applyFill="1" applyAlignment="1">
      <alignment horizontal="right" vertical="top"/>
    </xf>
    <xf numFmtId="165" fontId="0" fillId="0" borderId="4" xfId="15" applyNumberFormat="1" applyFont="1" applyBorder="1" applyAlignment="1">
      <alignment/>
    </xf>
    <xf numFmtId="165" fontId="0" fillId="0" borderId="0" xfId="15" applyNumberFormat="1" applyFont="1" applyAlignment="1">
      <alignment horizontal="left" indent="2"/>
    </xf>
    <xf numFmtId="43" fontId="0" fillId="0" borderId="0" xfId="15" applyFont="1" applyFill="1" applyBorder="1" applyAlignment="1">
      <alignment/>
    </xf>
    <xf numFmtId="43" fontId="0" fillId="0" borderId="0" xfId="15" applyFont="1" applyFill="1" applyAlignment="1">
      <alignment/>
    </xf>
    <xf numFmtId="43" fontId="0" fillId="0" borderId="4" xfId="15" applyFont="1" applyFill="1" applyBorder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0" fontId="10" fillId="0" borderId="0" xfId="0" applyFont="1" applyAlignment="1">
      <alignment/>
    </xf>
    <xf numFmtId="167" fontId="0" fillId="0" borderId="0" xfId="17" applyNumberFormat="1" applyBorder="1" applyAlignment="1">
      <alignment horizontal="left" indent="2"/>
    </xf>
    <xf numFmtId="165" fontId="0" fillId="0" borderId="7" xfId="15" applyNumberFormat="1" applyFont="1" applyBorder="1" applyAlignment="1">
      <alignment/>
    </xf>
    <xf numFmtId="3" fontId="0" fillId="0" borderId="0" xfId="0" applyNumberFormat="1" applyAlignment="1">
      <alignment/>
    </xf>
    <xf numFmtId="165" fontId="0" fillId="0" borderId="0" xfId="15" applyNumberFormat="1" applyBorder="1" applyAlignment="1">
      <alignment/>
    </xf>
    <xf numFmtId="3" fontId="0" fillId="0" borderId="2" xfId="0" applyNumberFormat="1" applyFont="1" applyBorder="1" applyAlignment="1">
      <alignment/>
    </xf>
    <xf numFmtId="165" fontId="0" fillId="0" borderId="2" xfId="15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41" fontId="0" fillId="0" borderId="4" xfId="0" applyNumberFormat="1" applyBorder="1" applyAlignment="1">
      <alignment/>
    </xf>
    <xf numFmtId="43" fontId="0" fillId="0" borderId="4" xfId="15" applyBorder="1" applyAlignment="1">
      <alignment/>
    </xf>
    <xf numFmtId="167" fontId="0" fillId="0" borderId="0" xfId="17" applyNumberFormat="1" applyBorder="1" applyAlignment="1">
      <alignment/>
    </xf>
    <xf numFmtId="43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5" xfId="15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202" fontId="0" fillId="0" borderId="0" xfId="15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0" fillId="0" borderId="4" xfId="15" applyNumberFormat="1" applyFont="1" applyFill="1" applyBorder="1" applyAlignment="1">
      <alignment horizontal="center"/>
    </xf>
    <xf numFmtId="165" fontId="0" fillId="0" borderId="4" xfId="15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43" fontId="0" fillId="0" borderId="0" xfId="15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 quotePrefix="1">
      <alignment/>
    </xf>
    <xf numFmtId="44" fontId="0" fillId="0" borderId="0" xfId="17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17" applyFont="1" applyFill="1" applyBorder="1" applyAlignment="1">
      <alignment/>
    </xf>
    <xf numFmtId="42" fontId="0" fillId="0" borderId="8" xfId="0" applyNumberFormat="1" applyFont="1" applyBorder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3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0" xfId="15" applyNumberFormat="1" applyFont="1" applyAlignment="1">
      <alignment/>
    </xf>
    <xf numFmtId="165" fontId="5" fillId="0" borderId="4" xfId="15" applyNumberFormat="1" applyFont="1" applyFill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/>
    </xf>
    <xf numFmtId="165" fontId="0" fillId="0" borderId="0" xfId="0" applyNumberFormat="1" applyBorder="1" applyAlignment="1">
      <alignment horizontal="center" vertical="center"/>
    </xf>
    <xf numFmtId="165" fontId="0" fillId="0" borderId="4" xfId="15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5" fontId="0" fillId="0" borderId="0" xfId="15" applyNumberFormat="1" applyFill="1" applyBorder="1" applyAlignment="1">
      <alignment/>
    </xf>
    <xf numFmtId="165" fontId="0" fillId="0" borderId="4" xfId="15" applyNumberFormat="1" applyBorder="1" applyAlignment="1">
      <alignment/>
    </xf>
    <xf numFmtId="165" fontId="5" fillId="0" borderId="4" xfId="15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2" fontId="0" fillId="0" borderId="0" xfId="17" applyNumberFormat="1" applyFont="1" applyFill="1" applyBorder="1" applyAlignment="1">
      <alignment/>
    </xf>
    <xf numFmtId="165" fontId="0" fillId="0" borderId="0" xfId="15" applyNumberFormat="1" applyFont="1" applyAlignment="1" quotePrefix="1">
      <alignment horizontal="right"/>
    </xf>
    <xf numFmtId="165" fontId="0" fillId="0" borderId="0" xfId="15" applyNumberFormat="1" applyFont="1" applyBorder="1" applyAlignment="1">
      <alignment/>
    </xf>
    <xf numFmtId="165" fontId="5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165" fontId="5" fillId="0" borderId="0" xfId="15" applyNumberFormat="1" applyFont="1" applyFill="1" applyBorder="1" applyAlignment="1">
      <alignment horizontal="right"/>
    </xf>
    <xf numFmtId="165" fontId="5" fillId="0" borderId="0" xfId="15" applyNumberFormat="1" applyFont="1" applyFill="1" applyBorder="1" applyAlignment="1">
      <alignment/>
    </xf>
    <xf numFmtId="165" fontId="5" fillId="0" borderId="0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4" xfId="15" applyNumberFormat="1" applyFont="1" applyBorder="1" applyAlignment="1">
      <alignment/>
    </xf>
    <xf numFmtId="44" fontId="0" fillId="0" borderId="0" xfId="17" applyFont="1" applyBorder="1" applyAlignment="1">
      <alignment horizontal="right"/>
    </xf>
    <xf numFmtId="44" fontId="0" fillId="0" borderId="0" xfId="17" applyFont="1" applyBorder="1" applyAlignment="1">
      <alignment horizontal="center"/>
    </xf>
    <xf numFmtId="167" fontId="0" fillId="0" borderId="0" xfId="17" applyNumberFormat="1" applyFont="1" applyFill="1" applyAlignment="1">
      <alignment/>
    </xf>
    <xf numFmtId="165" fontId="0" fillId="0" borderId="0" xfId="15" applyNumberFormat="1" applyFont="1" applyAlignment="1" applyProtection="1">
      <alignment/>
      <protection locked="0"/>
    </xf>
    <xf numFmtId="0" fontId="0" fillId="0" borderId="1" xfId="0" applyFont="1" applyBorder="1" applyAlignment="1">
      <alignment/>
    </xf>
    <xf numFmtId="165" fontId="0" fillId="0" borderId="0" xfId="15" applyNumberFormat="1" applyAlignment="1">
      <alignment horizontal="right" vertical="top"/>
    </xf>
    <xf numFmtId="165" fontId="5" fillId="0" borderId="0" xfId="15" applyNumberFormat="1" applyFont="1" applyFill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Alignment="1">
      <alignment horizontal="left" indent="3"/>
    </xf>
    <xf numFmtId="165" fontId="5" fillId="0" borderId="4" xfId="15" applyNumberFormat="1" applyFont="1" applyBorder="1" applyAlignment="1">
      <alignment horizontal="left" indent="3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0" xfId="20" applyAlignment="1">
      <alignment/>
    </xf>
    <xf numFmtId="167" fontId="0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167" fontId="0" fillId="0" borderId="0" xfId="17" applyNumberFormat="1" applyFont="1" applyBorder="1" applyAlignment="1">
      <alignment horizontal="left" indent="2"/>
    </xf>
    <xf numFmtId="165" fontId="0" fillId="0" borderId="2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82" fontId="0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5" fontId="0" fillId="0" borderId="0" xfId="15" applyNumberFormat="1" applyFont="1" applyAlignment="1" quotePrefix="1">
      <alignment horizontal="center"/>
    </xf>
    <xf numFmtId="192" fontId="0" fillId="0" borderId="0" xfId="0" applyNumberFormat="1" applyAlignment="1">
      <alignment/>
    </xf>
    <xf numFmtId="165" fontId="5" fillId="0" borderId="4" xfId="15" applyNumberFormat="1" applyFont="1" applyBorder="1" applyAlignment="1">
      <alignment/>
    </xf>
    <xf numFmtId="165" fontId="0" fillId="0" borderId="5" xfId="15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0" fillId="0" borderId="9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right"/>
    </xf>
    <xf numFmtId="165" fontId="0" fillId="0" borderId="4" xfId="0" applyNumberFormat="1" applyFont="1" applyBorder="1" applyAlignment="1">
      <alignment horizontal="center"/>
    </xf>
    <xf numFmtId="43" fontId="0" fillId="0" borderId="1" xfId="15" applyFont="1" applyBorder="1" applyAlignment="1">
      <alignment horizontal="center"/>
    </xf>
    <xf numFmtId="43" fontId="0" fillId="0" borderId="4" xfId="15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 vertical="justify" wrapText="1"/>
    </xf>
    <xf numFmtId="165" fontId="0" fillId="0" borderId="4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5" fontId="0" fillId="0" borderId="9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5" fontId="0" fillId="0" borderId="5" xfId="1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5" fontId="0" fillId="0" borderId="5" xfId="15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5" fontId="0" fillId="0" borderId="4" xfId="15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15" applyNumberFormat="1" applyFont="1" applyBorder="1" applyAlignment="1">
      <alignment horizontal="center" wrapText="1"/>
    </xf>
    <xf numFmtId="165" fontId="0" fillId="0" borderId="10" xfId="15" applyNumberFormat="1" applyFont="1" applyBorder="1" applyAlignment="1">
      <alignment horizontal="center"/>
    </xf>
    <xf numFmtId="165" fontId="0" fillId="0" borderId="7" xfId="15" applyNumberFormat="1" applyFont="1" applyBorder="1" applyAlignment="1">
      <alignment horizontal="center" wrapText="1"/>
    </xf>
    <xf numFmtId="165" fontId="0" fillId="0" borderId="0" xfId="15" applyNumberFormat="1" applyFont="1" applyBorder="1" applyAlignment="1">
      <alignment horizontal="center" vertical="center" wrapText="1"/>
    </xf>
    <xf numFmtId="165" fontId="0" fillId="0" borderId="11" xfId="15" applyNumberFormat="1" applyFont="1" applyBorder="1" applyAlignment="1">
      <alignment horizontal="center"/>
    </xf>
    <xf numFmtId="165" fontId="0" fillId="0" borderId="7" xfId="15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15" applyNumberFormat="1" applyFont="1" applyAlignment="1">
      <alignment horizontal="center" wrapText="1"/>
    </xf>
    <xf numFmtId="165" fontId="0" fillId="0" borderId="7" xfId="15" applyNumberFormat="1" applyFont="1" applyFill="1" applyBorder="1" applyAlignment="1">
      <alignment horizontal="center" wrapText="1"/>
    </xf>
    <xf numFmtId="165" fontId="0" fillId="0" borderId="0" xfId="15" applyNumberFormat="1" applyFont="1" applyFill="1" applyBorder="1" applyAlignment="1">
      <alignment horizontal="center" wrapText="1"/>
    </xf>
    <xf numFmtId="165" fontId="0" fillId="0" borderId="5" xfId="15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5" fontId="0" fillId="0" borderId="5" xfId="15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3" fontId="0" fillId="0" borderId="0" xfId="15" applyFont="1" applyFill="1" applyBorder="1" applyAlignment="1">
      <alignment horizontal="center" wrapText="1"/>
    </xf>
    <xf numFmtId="43" fontId="0" fillId="0" borderId="2" xfId="15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65" fontId="0" fillId="0" borderId="0" xfId="15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7"/>
  <sheetViews>
    <sheetView workbookViewId="0" topLeftCell="A1">
      <selection activeCell="G17" sqref="G17"/>
    </sheetView>
  </sheetViews>
  <sheetFormatPr defaultColWidth="9.140625" defaultRowHeight="12.75"/>
  <cols>
    <col min="1" max="1" width="14.140625" style="146" bestFit="1" customWidth="1"/>
    <col min="2" max="2" width="16.00390625" style="146" bestFit="1" customWidth="1"/>
    <col min="3" max="3" width="18.7109375" style="146" bestFit="1" customWidth="1"/>
    <col min="4" max="4" width="17.00390625" style="146" bestFit="1" customWidth="1"/>
    <col min="5" max="5" width="15.00390625" style="146" customWidth="1"/>
    <col min="6" max="6" width="17.00390625" style="146" bestFit="1" customWidth="1"/>
    <col min="7" max="7" width="16.00390625" style="146" bestFit="1" customWidth="1"/>
    <col min="8" max="8" width="2.7109375" style="146" customWidth="1"/>
    <col min="9" max="13" width="9.140625" style="146" customWidth="1"/>
    <col min="14" max="14" width="12.00390625" style="0" bestFit="1" customWidth="1"/>
    <col min="15" max="15" width="14.140625" style="0" customWidth="1"/>
  </cols>
  <sheetData>
    <row r="1" spans="1:13" ht="12.75">
      <c r="A1" s="445" t="s">
        <v>107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284"/>
    </row>
    <row r="2" spans="1:13" ht="12.7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284"/>
    </row>
    <row r="3" spans="1:13" ht="12.75">
      <c r="A3" s="445" t="s">
        <v>258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284"/>
    </row>
    <row r="4" spans="1:13" ht="13.5" thickBot="1">
      <c r="A4" s="284"/>
      <c r="B4" s="335"/>
      <c r="C4" s="284"/>
      <c r="D4" s="284"/>
      <c r="E4" s="284"/>
      <c r="F4" s="284"/>
      <c r="G4" s="284"/>
      <c r="H4" s="284"/>
      <c r="I4" s="336"/>
      <c r="J4" s="284"/>
      <c r="K4" s="284"/>
      <c r="L4" s="284"/>
      <c r="M4" s="284"/>
    </row>
    <row r="5" spans="1:60" ht="15" customHeight="1" thickTop="1">
      <c r="A5" s="337" t="s">
        <v>99</v>
      </c>
      <c r="B5" s="338" t="s">
        <v>52</v>
      </c>
      <c r="C5" s="443" t="s">
        <v>102</v>
      </c>
      <c r="D5" s="443"/>
      <c r="E5" s="444"/>
      <c r="F5" s="444"/>
      <c r="G5" s="337"/>
      <c r="H5" s="337"/>
      <c r="I5" s="443" t="s">
        <v>104</v>
      </c>
      <c r="J5" s="443"/>
      <c r="K5" s="443"/>
      <c r="L5" s="443"/>
      <c r="M5" s="33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</row>
    <row r="6" spans="1:13" ht="12.75">
      <c r="A6" s="340" t="s">
        <v>41</v>
      </c>
      <c r="B6" s="309" t="s">
        <v>105</v>
      </c>
      <c r="C6" s="442" t="s">
        <v>99</v>
      </c>
      <c r="D6" s="442"/>
      <c r="E6" s="341"/>
      <c r="F6" s="341"/>
      <c r="G6" s="446" t="s">
        <v>371</v>
      </c>
      <c r="H6" s="309"/>
      <c r="I6" s="265"/>
      <c r="J6" s="265"/>
      <c r="K6" s="265"/>
      <c r="L6" s="265" t="s">
        <v>155</v>
      </c>
      <c r="M6" s="284"/>
    </row>
    <row r="7" spans="1:13" ht="13.5" thickBot="1">
      <c r="A7" s="342" t="s">
        <v>143</v>
      </c>
      <c r="B7" s="299" t="s">
        <v>106</v>
      </c>
      <c r="C7" s="310" t="s">
        <v>325</v>
      </c>
      <c r="D7" s="310" t="s">
        <v>326</v>
      </c>
      <c r="E7" s="310" t="s">
        <v>53</v>
      </c>
      <c r="F7" s="310" t="s">
        <v>65</v>
      </c>
      <c r="G7" s="447"/>
      <c r="H7" s="310"/>
      <c r="I7" s="299" t="s">
        <v>99</v>
      </c>
      <c r="J7" s="299" t="s">
        <v>53</v>
      </c>
      <c r="K7" s="343" t="s">
        <v>65</v>
      </c>
      <c r="L7" s="343" t="s">
        <v>103</v>
      </c>
      <c r="M7" s="284"/>
    </row>
    <row r="8" spans="1:15" ht="12.75">
      <c r="A8" s="340" t="s">
        <v>0</v>
      </c>
      <c r="B8" s="387">
        <f aca="true" t="shared" si="0" ref="B8:G8">SUM(B10:B37)</f>
        <v>10748933763.81</v>
      </c>
      <c r="C8" s="387">
        <f t="shared" si="0"/>
        <v>5461297265.3</v>
      </c>
      <c r="D8" s="387">
        <f t="shared" si="0"/>
        <v>324620039.23999995</v>
      </c>
      <c r="E8" s="387">
        <f t="shared" si="0"/>
        <v>4188756730.14</v>
      </c>
      <c r="F8" s="387">
        <f t="shared" si="0"/>
        <v>661962974.8299999</v>
      </c>
      <c r="G8" s="387">
        <f t="shared" si="0"/>
        <v>112296754.3</v>
      </c>
      <c r="H8" s="126"/>
      <c r="I8" s="286">
        <f>IF(B8&lt;&gt;0,((+C8+D8)/B8*100),(IF(C8&lt;&gt;0,1,0)))</f>
        <v>53.82782545390958</v>
      </c>
      <c r="J8" s="286">
        <f aca="true" t="shared" si="1" ref="J8:L14">IF($B8&lt;&gt;0,(E8/$B8*100),(IF(E8&lt;&gt;0,1,0)))</f>
        <v>38.96904402037435</v>
      </c>
      <c r="K8" s="286">
        <f t="shared" si="1"/>
        <v>6.15840593472375</v>
      </c>
      <c r="L8" s="286">
        <f t="shared" si="1"/>
        <v>1.0447245909923255</v>
      </c>
      <c r="M8" s="284"/>
      <c r="N8">
        <v>10748933763.81</v>
      </c>
      <c r="O8" s="424">
        <f>B8-N8</f>
        <v>0</v>
      </c>
    </row>
    <row r="9" spans="1:13" ht="12.75">
      <c r="A9" s="344"/>
      <c r="B9" s="345"/>
      <c r="C9" s="345"/>
      <c r="D9" s="346"/>
      <c r="E9" s="265"/>
      <c r="F9" s="265"/>
      <c r="G9" s="265"/>
      <c r="H9" s="265"/>
      <c r="I9" s="347"/>
      <c r="J9" s="348"/>
      <c r="K9" s="347"/>
      <c r="L9" s="347"/>
      <c r="M9" s="284"/>
    </row>
    <row r="10" spans="1:15" ht="12.75">
      <c r="A10" s="284" t="s">
        <v>1</v>
      </c>
      <c r="B10" s="303">
        <f aca="true" t="shared" si="2" ref="B10:B37">SUM(C10:G10)</f>
        <v>121409730.74</v>
      </c>
      <c r="C10" s="345">
        <f>'table 2'!C11+table4!C11+table5!C11</f>
        <v>26971505.23</v>
      </c>
      <c r="D10" s="233">
        <f>'table 2'!D11+table4!D11+table5!D11+'table 6'!C12+'table 6'!D12+'table 6'!F12+'table 6'!E12</f>
        <v>4408875.21</v>
      </c>
      <c r="E10" s="345">
        <f>'table 2'!E11+table4!E11+table5!E11</f>
        <v>77437700.56</v>
      </c>
      <c r="F10" s="233">
        <f>'table 2'!F11+table4!F11+table5!F11+'table 6'!I12</f>
        <v>11967820.61</v>
      </c>
      <c r="G10" s="233">
        <f>table4!G11+table5!G11+'table 6'!K12+'table 2'!G11</f>
        <v>623829.13</v>
      </c>
      <c r="H10" s="285"/>
      <c r="I10" s="286">
        <f>IF(B10&lt;&gt;0,((+C10+D10)/B10*100),(IF(C10&lt;&gt;0,1,0)))</f>
        <v>25.846676579162637</v>
      </c>
      <c r="J10" s="286">
        <f t="shared" si="1"/>
        <v>63.78212033583496</v>
      </c>
      <c r="K10" s="286">
        <f t="shared" si="1"/>
        <v>9.857381724722867</v>
      </c>
      <c r="L10" s="286">
        <f t="shared" si="1"/>
        <v>0.5138213602795443</v>
      </c>
      <c r="M10" s="284"/>
      <c r="N10">
        <v>121409730.74</v>
      </c>
      <c r="O10" s="269">
        <f>B10-N10</f>
        <v>0</v>
      </c>
    </row>
    <row r="11" spans="1:15" ht="12.75">
      <c r="A11" s="284" t="s">
        <v>2</v>
      </c>
      <c r="B11" s="303">
        <f t="shared" si="2"/>
        <v>859943272.5</v>
      </c>
      <c r="C11" s="345">
        <f>'table 2'!C12+table4!C12+table5!C12</f>
        <v>515399219</v>
      </c>
      <c r="D11" s="233">
        <f>'table 2'!D12+table4!D12+table5!D12+'table 6'!C13+'table 6'!D13+'table 6'!F13+'table 6'!E13</f>
        <v>19777343.049999997</v>
      </c>
      <c r="E11" s="345">
        <f>'table 2'!E12+table4!E12+table5!E12</f>
        <v>250654091.84999996</v>
      </c>
      <c r="F11" s="233">
        <f>'table 2'!F12+table4!F12+table5!F12+'table 6'!I13</f>
        <v>45112498.60000001</v>
      </c>
      <c r="G11" s="233">
        <f>table4!G12+table5!G12+'table 6'!K13+'table 2'!G12</f>
        <v>29000120</v>
      </c>
      <c r="H11" s="287"/>
      <c r="I11" s="286">
        <f>IF(B11&lt;&gt;0,((+C11+D11)/B11*100),(IF(C11&lt;&gt;0,1,0)))</f>
        <v>62.23393788454808</v>
      </c>
      <c r="J11" s="286">
        <f t="shared" si="1"/>
        <v>29.147747283527934</v>
      </c>
      <c r="K11" s="286">
        <f t="shared" si="1"/>
        <v>5.2459854088805615</v>
      </c>
      <c r="L11" s="286">
        <f t="shared" si="1"/>
        <v>3.372329423043425</v>
      </c>
      <c r="M11" s="284"/>
      <c r="N11">
        <v>859943272.5</v>
      </c>
      <c r="O11" s="269">
        <f>B11-N11</f>
        <v>0</v>
      </c>
    </row>
    <row r="12" spans="1:15" ht="12.75">
      <c r="A12" s="284" t="s">
        <v>3</v>
      </c>
      <c r="B12" s="303">
        <f t="shared" si="2"/>
        <v>1105804208.84</v>
      </c>
      <c r="C12" s="345">
        <f>'table 2'!C13+table4!C13+table5!C13</f>
        <v>210151178.94</v>
      </c>
      <c r="D12" s="233">
        <f>'table 2'!D13+table4!D13+table5!D13+'table 6'!C14+'table 6'!D14+'table 6'!F14+'table 6'!E14</f>
        <v>28241374.049999997</v>
      </c>
      <c r="E12" s="345">
        <f>'table 2'!E13+table4!E13+table5!E13</f>
        <v>736766453.42</v>
      </c>
      <c r="F12" s="233">
        <f>'table 2'!F13+table4!F13+table5!F13+'table 6'!I14</f>
        <v>130645202.42999999</v>
      </c>
      <c r="G12" s="233">
        <f>table4!G13+table5!G13+'table 6'!K14+'table 2'!G13</f>
        <v>0</v>
      </c>
      <c r="H12" s="287"/>
      <c r="I12" s="286">
        <f>IF(B12&lt;&gt;0,((+C12+D12)/B12*100),(IF(C12&lt;&gt;0,1,0)))</f>
        <v>21.55829676576076</v>
      </c>
      <c r="J12" s="286">
        <f t="shared" si="1"/>
        <v>66.62720647381832</v>
      </c>
      <c r="K12" s="286">
        <f t="shared" si="1"/>
        <v>11.814496760420921</v>
      </c>
      <c r="L12" s="286">
        <f t="shared" si="1"/>
        <v>0</v>
      </c>
      <c r="M12" s="284"/>
      <c r="N12">
        <v>1105804208.84</v>
      </c>
      <c r="O12" s="269">
        <f>B12-N12</f>
        <v>0</v>
      </c>
    </row>
    <row r="13" spans="1:15" ht="12.75">
      <c r="A13" s="284" t="s">
        <v>4</v>
      </c>
      <c r="B13" s="303">
        <f t="shared" si="2"/>
        <v>1239843518.9</v>
      </c>
      <c r="C13" s="345">
        <f>'table 2'!C14+table4!C14+table5!C14</f>
        <v>622549929.86</v>
      </c>
      <c r="D13" s="233">
        <f>'table 2'!D14+table4!D14+table5!D14+'table 6'!C15+'table 6'!D15+'table 6'!F15+'table 6'!E15</f>
        <v>22463794.49</v>
      </c>
      <c r="E13" s="345">
        <f>'table 2'!E14+table4!E14+table5!E14</f>
        <v>458371664.65</v>
      </c>
      <c r="F13" s="233">
        <f>'table 2'!F14+table4!F14+table5!F14+'table 6'!I15</f>
        <v>85975302.89999999</v>
      </c>
      <c r="G13" s="233">
        <f>table4!G14+table5!G14+'table 6'!K15+'table 2'!G14</f>
        <v>50482827</v>
      </c>
      <c r="H13" s="287"/>
      <c r="I13" s="286">
        <f>IF(B13&lt;&gt;0,((+C13+D13)/B13*100),(IF(C13&lt;&gt;0,1,0)))</f>
        <v>52.023800948869884</v>
      </c>
      <c r="J13" s="286">
        <f t="shared" si="1"/>
        <v>36.970122250320046</v>
      </c>
      <c r="K13" s="286">
        <f t="shared" si="1"/>
        <v>6.934367247915126</v>
      </c>
      <c r="L13" s="286">
        <f t="shared" si="1"/>
        <v>4.071709552894933</v>
      </c>
      <c r="M13" s="284"/>
      <c r="N13">
        <v>1239843518.9</v>
      </c>
      <c r="O13" s="269">
        <f>B13-N13</f>
        <v>0</v>
      </c>
    </row>
    <row r="14" spans="1:15" ht="12.75">
      <c r="A14" s="284" t="s">
        <v>5</v>
      </c>
      <c r="B14" s="303">
        <f t="shared" si="2"/>
        <v>191960910.57</v>
      </c>
      <c r="C14" s="345">
        <f>'table 2'!C15+table4!C15+table5!C15</f>
        <v>96079131.37</v>
      </c>
      <c r="D14" s="233">
        <f>'table 2'!D15+table4!D15+table5!D15+'table 6'!C16+'table 6'!D16+'table 6'!F16+'table 6'!E16</f>
        <v>7056229.100000001</v>
      </c>
      <c r="E14" s="345">
        <f>'table 2'!E15+table4!E15+table5!E15</f>
        <v>80276970.31</v>
      </c>
      <c r="F14" s="233">
        <f>'table 2'!F15+table4!F15+table5!F15+'table 6'!I16</f>
        <v>8548579.790000001</v>
      </c>
      <c r="G14" s="233">
        <f>table4!G15+table5!G15+'table 6'!K16+'table 2'!G15</f>
        <v>0</v>
      </c>
      <c r="H14" s="287"/>
      <c r="I14" s="286">
        <f>IF(B14&lt;&gt;0,((+C14+D14)/B14*100),(IF(C14&lt;&gt;0,1,0)))</f>
        <v>53.72727195539683</v>
      </c>
      <c r="J14" s="286">
        <f t="shared" si="1"/>
        <v>41.819436088122956</v>
      </c>
      <c r="K14" s="286">
        <f t="shared" si="1"/>
        <v>4.453291956480221</v>
      </c>
      <c r="L14" s="286">
        <f t="shared" si="1"/>
        <v>0</v>
      </c>
      <c r="M14" s="284"/>
      <c r="N14">
        <v>191960910.57</v>
      </c>
      <c r="O14" s="269">
        <f>B14-N14</f>
        <v>0</v>
      </c>
    </row>
    <row r="15" spans="1:13" ht="12.75">
      <c r="A15" s="284"/>
      <c r="B15" s="303"/>
      <c r="C15" s="233"/>
      <c r="D15" s="233"/>
      <c r="E15" s="233"/>
      <c r="F15" s="233"/>
      <c r="G15" s="233"/>
      <c r="H15" s="287"/>
      <c r="I15" s="286"/>
      <c r="J15" s="286"/>
      <c r="K15" s="286"/>
      <c r="L15" s="286"/>
      <c r="M15" s="284"/>
    </row>
    <row r="16" spans="1:15" ht="12.75">
      <c r="A16" s="284" t="s">
        <v>6</v>
      </c>
      <c r="B16" s="303">
        <f t="shared" si="2"/>
        <v>57817717.089999996</v>
      </c>
      <c r="C16" s="345">
        <f>'table 2'!C17+table4!C17+table5!C17</f>
        <v>11959890.83</v>
      </c>
      <c r="D16" s="233">
        <f>'table 2'!D17+table4!D17+table5!D17+'table 6'!C18+'table 6'!D18+'table 6'!F18+'table 6'!E18</f>
        <v>2643470.46</v>
      </c>
      <c r="E16" s="345">
        <f>'table 2'!E17+table4!E17+table5!E17</f>
        <v>37745240.76</v>
      </c>
      <c r="F16" s="233">
        <f>'table 2'!F17+table4!F17+table5!F17+'table 6'!I18</f>
        <v>5458529.75</v>
      </c>
      <c r="G16" s="233">
        <f>table4!G17+table5!G17+'table 6'!K18+'table 2'!G17</f>
        <v>10585.29</v>
      </c>
      <c r="H16" s="287"/>
      <c r="I16" s="286">
        <f>IF(B16&lt;&gt;0,((+C16+D16)/B16*100),(IF(C16&lt;&gt;0,1,0)))</f>
        <v>25.257588893155656</v>
      </c>
      <c r="J16" s="286">
        <f aca="true" t="shared" si="3" ref="J16:L20">IF($B16&lt;&gt;0,(E16/$B16*100),(IF(E16&lt;&gt;0,1,0)))</f>
        <v>65.28317384314076</v>
      </c>
      <c r="K16" s="286">
        <f t="shared" si="3"/>
        <v>9.440929225038692</v>
      </c>
      <c r="L16" s="286">
        <f t="shared" si="3"/>
        <v>0.01830803866490053</v>
      </c>
      <c r="M16" s="284"/>
      <c r="N16">
        <v>57817717.089999996</v>
      </c>
      <c r="O16" s="269">
        <f>B16-N16</f>
        <v>0</v>
      </c>
    </row>
    <row r="17" spans="1:15" ht="12.75">
      <c r="A17" s="284" t="s">
        <v>7</v>
      </c>
      <c r="B17" s="303">
        <f t="shared" si="2"/>
        <v>307196525.78</v>
      </c>
      <c r="C17" s="345">
        <f>'table 2'!C18+table4!C18+table5!C18</f>
        <v>154988892.19</v>
      </c>
      <c r="D17" s="233">
        <f>'table 2'!D18+table4!D18+table5!D18+'table 6'!C19+'table 6'!D19+'table 6'!F19+'table 6'!E19</f>
        <v>6373771.95</v>
      </c>
      <c r="E17" s="345">
        <f>'table 2'!E18+table4!E18+table5!E18</f>
        <v>131279416.75999999</v>
      </c>
      <c r="F17" s="233">
        <f>'table 2'!F18+table4!F18+table5!F18+'table 6'!I19</f>
        <v>14006806.88</v>
      </c>
      <c r="G17" s="233">
        <f>table4!G18+table5!G18+'table 6'!K19+'table 2'!G18</f>
        <v>547638</v>
      </c>
      <c r="H17" s="287"/>
      <c r="I17" s="286">
        <f>IF(B17&lt;&gt;0,((+C17+D17)/B17*100),(IF(C17&lt;&gt;0,1,0)))</f>
        <v>52.5275029495485</v>
      </c>
      <c r="J17" s="286">
        <f t="shared" si="3"/>
        <v>42.73466844283788</v>
      </c>
      <c r="K17" s="286">
        <f t="shared" si="3"/>
        <v>4.559559013382538</v>
      </c>
      <c r="L17" s="286">
        <f t="shared" si="3"/>
        <v>0.17826959423108618</v>
      </c>
      <c r="M17" s="284"/>
      <c r="N17">
        <v>307196525.78</v>
      </c>
      <c r="O17" s="269">
        <f>B17-N17</f>
        <v>0</v>
      </c>
    </row>
    <row r="18" spans="1:15" ht="12.75">
      <c r="A18" s="284" t="s">
        <v>8</v>
      </c>
      <c r="B18" s="303">
        <f t="shared" si="2"/>
        <v>187209779.49</v>
      </c>
      <c r="C18" s="345">
        <f>'table 2'!C19+table4!C19+table5!C19</f>
        <v>68101425.61</v>
      </c>
      <c r="D18" s="233">
        <f>'table 2'!D19+table4!D19+table5!D19+'table 6'!C20+'table 6'!D20+'table 6'!F20+'table 6'!E20</f>
        <v>9931558.620000001</v>
      </c>
      <c r="E18" s="345">
        <f>'table 2'!E19+table4!E19+table5!E19</f>
        <v>99185410.22000001</v>
      </c>
      <c r="F18" s="233">
        <f>'table 2'!F19+table4!F19+table5!F19+'table 6'!I20</f>
        <v>9985010.040000001</v>
      </c>
      <c r="G18" s="233">
        <f>table4!G19+table5!G19+'table 6'!K20+'table 2'!G19</f>
        <v>6375</v>
      </c>
      <c r="H18" s="287"/>
      <c r="I18" s="286">
        <f>IF(B18&lt;&gt;0,((+C18+D18)/B18*100),(IF(C18&lt;&gt;0,1,0)))</f>
        <v>41.682108938207584</v>
      </c>
      <c r="J18" s="286">
        <f t="shared" si="3"/>
        <v>52.98089153793277</v>
      </c>
      <c r="K18" s="286">
        <f t="shared" si="3"/>
        <v>5.333594253035996</v>
      </c>
      <c r="L18" s="286">
        <f t="shared" si="3"/>
        <v>0.0034052708236540215</v>
      </c>
      <c r="M18" s="284"/>
      <c r="N18">
        <v>187209779.49</v>
      </c>
      <c r="O18" s="269">
        <f>B18-N18</f>
        <v>0</v>
      </c>
    </row>
    <row r="19" spans="1:15" ht="12.75">
      <c r="A19" s="284" t="s">
        <v>9</v>
      </c>
      <c r="B19" s="303">
        <f t="shared" si="2"/>
        <v>310954250.6000001</v>
      </c>
      <c r="C19" s="345">
        <f>'table 2'!C20+table4!C20+table5!C20+232432.55</f>
        <v>157199286.70000002</v>
      </c>
      <c r="D19" s="233">
        <f>'table 2'!D20+table4!D20+table5!D20+'table 6'!C21+'table 6'!D21+'table 6'!F21+'table 6'!E21-232432.55</f>
        <v>9028282.279999997</v>
      </c>
      <c r="E19" s="345">
        <f>'table 2'!E20+table4!E20+table5!E20</f>
        <v>129990569.08000001</v>
      </c>
      <c r="F19" s="233">
        <f>'table 2'!F20+table4!F20+table5!F20+'table 6'!I21</f>
        <v>14736112.54</v>
      </c>
      <c r="G19" s="233">
        <f>table4!G20+table5!G20+'table 6'!K21+'table 2'!G20</f>
        <v>0</v>
      </c>
      <c r="H19" s="287"/>
      <c r="I19" s="286">
        <f>IF(B19&lt;&gt;0,((+C19+D19)/B19*100),(IF(C19&lt;&gt;0,1,0)))</f>
        <v>53.45724287712952</v>
      </c>
      <c r="J19" s="286">
        <f t="shared" si="3"/>
        <v>41.80376014451561</v>
      </c>
      <c r="K19" s="286">
        <f t="shared" si="3"/>
        <v>4.738996978354859</v>
      </c>
      <c r="L19" s="286">
        <f t="shared" si="3"/>
        <v>0</v>
      </c>
      <c r="M19" s="284"/>
      <c r="N19">
        <v>310954250.6000001</v>
      </c>
      <c r="O19" s="269">
        <f>B19-N19</f>
        <v>0</v>
      </c>
    </row>
    <row r="20" spans="1:15" ht="12.75">
      <c r="A20" s="284" t="s">
        <v>10</v>
      </c>
      <c r="B20" s="303">
        <f t="shared" si="2"/>
        <v>53815622.44</v>
      </c>
      <c r="C20" s="345">
        <f>'table 2'!C21+table4!C21+table5!C21</f>
        <v>17899148</v>
      </c>
      <c r="D20" s="233">
        <f>'table 2'!D21+table4!D21+table5!D21+'table 6'!C22+'table 6'!D22+'table 6'!F22+'table 6'!E22</f>
        <v>2612666.91</v>
      </c>
      <c r="E20" s="345">
        <f>'table 2'!E21+table4!E21+table5!E21</f>
        <v>27463028.309999995</v>
      </c>
      <c r="F20" s="233">
        <f>'table 2'!F21+table4!F21+table5!F21+'table 6'!I22</f>
        <v>5840779.22</v>
      </c>
      <c r="G20" s="233">
        <f>table4!G21+table5!G21+'table 6'!K22+'table 2'!G21</f>
        <v>0</v>
      </c>
      <c r="H20" s="287"/>
      <c r="I20" s="286">
        <f>IF(B20&lt;&gt;0,((+C20+D20)/B20*100),(IF(C20&lt;&gt;0,1,0)))</f>
        <v>38.114982192892015</v>
      </c>
      <c r="J20" s="286">
        <f t="shared" si="3"/>
        <v>51.031702440344375</v>
      </c>
      <c r="K20" s="286">
        <f t="shared" si="3"/>
        <v>10.8533153667636</v>
      </c>
      <c r="L20" s="286">
        <f t="shared" si="3"/>
        <v>0</v>
      </c>
      <c r="M20" s="284"/>
      <c r="N20">
        <v>53815622.44</v>
      </c>
      <c r="O20" s="269">
        <f>B20-N20</f>
        <v>0</v>
      </c>
    </row>
    <row r="21" spans="1:13" ht="12.75">
      <c r="A21" s="284"/>
      <c r="B21" s="303"/>
      <c r="C21" s="233"/>
      <c r="D21" s="233"/>
      <c r="E21" s="233"/>
      <c r="F21" s="233"/>
      <c r="G21" s="233"/>
      <c r="H21" s="287"/>
      <c r="I21" s="286"/>
      <c r="J21" s="286"/>
      <c r="K21" s="286"/>
      <c r="L21" s="286"/>
      <c r="M21" s="284"/>
    </row>
    <row r="22" spans="1:15" ht="12.75">
      <c r="A22" s="284" t="s">
        <v>11</v>
      </c>
      <c r="B22" s="303">
        <f t="shared" si="2"/>
        <v>461150390.98</v>
      </c>
      <c r="C22" s="345">
        <f>'table 2'!C23+table4!C23+table5!C23</f>
        <v>246233837.86</v>
      </c>
      <c r="D22" s="233">
        <f>'table 2'!D23+table4!D23+table5!D23+'table 6'!C24+'table 6'!D24+'table 6'!F24+'table 6'!E24</f>
        <v>10923424.74</v>
      </c>
      <c r="E22" s="345">
        <f>'table 2'!E23+table4!E23+table5!E23</f>
        <v>177087168.98000002</v>
      </c>
      <c r="F22" s="233">
        <f>'table 2'!F23+table4!F23+table5!F23+'table 6'!I24</f>
        <v>17001517.4</v>
      </c>
      <c r="G22" s="233">
        <f>table4!G23+table5!G23+'table 6'!K24+'table 2'!G23</f>
        <v>9904442</v>
      </c>
      <c r="H22" s="287"/>
      <c r="I22" s="286">
        <f>IF(B22&lt;&gt;0,((+C22+D22)/B22*100),(IF(C22&lt;&gt;0,1,0)))</f>
        <v>55.764294605391086</v>
      </c>
      <c r="J22" s="286">
        <f aca="true" t="shared" si="4" ref="J22:L26">IF($B22&lt;&gt;0,(E22/$B22*100),(IF(E22&lt;&gt;0,1,0)))</f>
        <v>38.401175070819846</v>
      </c>
      <c r="K22" s="286">
        <f t="shared" si="4"/>
        <v>3.6867620048786534</v>
      </c>
      <c r="L22" s="286">
        <f t="shared" si="4"/>
        <v>2.1477683189104253</v>
      </c>
      <c r="M22" s="284"/>
      <c r="N22">
        <v>461150390.98</v>
      </c>
      <c r="O22" s="269">
        <f>B22-N22</f>
        <v>0</v>
      </c>
    </row>
    <row r="23" spans="1:15" ht="12.75">
      <c r="A23" s="284" t="s">
        <v>12</v>
      </c>
      <c r="B23" s="303">
        <f t="shared" si="2"/>
        <v>50414534.84</v>
      </c>
      <c r="C23" s="345">
        <f>'table 2'!C24+table4!C24+table5!C24</f>
        <v>19517568.89</v>
      </c>
      <c r="D23" s="233">
        <f>'table 2'!D24+table4!D24+table5!D24+'table 6'!C25+'table 6'!D25+'table 6'!F25+'table 6'!E25</f>
        <v>1739191.42</v>
      </c>
      <c r="E23" s="345">
        <f>'table 2'!E24+table4!E24+table5!E24</f>
        <v>23759895.85</v>
      </c>
      <c r="F23" s="233">
        <f>'table 2'!F24+table4!F24+table5!F24+'table 6'!I25</f>
        <v>5383472.94</v>
      </c>
      <c r="G23" s="233">
        <f>table4!G24+table5!G24+'table 6'!K25+'table 2'!G24</f>
        <v>14405.74</v>
      </c>
      <c r="H23" s="287"/>
      <c r="I23" s="286">
        <f>IF(B23&lt;&gt;0,((+C23+D23)/B23*100),(IF(C23&lt;&gt;0,1,0)))</f>
        <v>42.16395207743624</v>
      </c>
      <c r="J23" s="286">
        <f t="shared" si="4"/>
        <v>47.12905896167939</v>
      </c>
      <c r="K23" s="286">
        <f t="shared" si="4"/>
        <v>10.67841438403719</v>
      </c>
      <c r="L23" s="286">
        <f t="shared" si="4"/>
        <v>0.028574576847171795</v>
      </c>
      <c r="M23" s="284"/>
      <c r="N23">
        <v>50414534.84</v>
      </c>
      <c r="O23" s="269">
        <f>B23-N23</f>
        <v>0</v>
      </c>
    </row>
    <row r="24" spans="1:15" ht="12.75">
      <c r="A24" s="284" t="s">
        <v>13</v>
      </c>
      <c r="B24" s="303">
        <f t="shared" si="2"/>
        <v>466081499.7</v>
      </c>
      <c r="C24" s="345">
        <f>'table 2'!C25+table4!C25+table5!C25</f>
        <v>232622732</v>
      </c>
      <c r="D24" s="233">
        <f>'table 2'!D25+table4!D25+table5!D25+'table 6'!C26+'table 6'!D26+'table 6'!F26+'table 6'!E26</f>
        <v>10318210.25</v>
      </c>
      <c r="E24" s="345">
        <f>'table 2'!E25+table4!E25+table5!E25</f>
        <v>188703668.4</v>
      </c>
      <c r="F24" s="233">
        <f>'table 2'!F25+table4!F25+table5!F25+'table 6'!I26</f>
        <v>23031331.35</v>
      </c>
      <c r="G24" s="233">
        <f>table4!G25+table5!G25+'table 6'!K26+'table 2'!G25</f>
        <v>11405557.7</v>
      </c>
      <c r="H24" s="287"/>
      <c r="I24" s="286">
        <f>IF(B24&lt;&gt;0,((+C24+D24)/B24*100),(IF(C24&lt;&gt;0,1,0)))</f>
        <v>52.12413331281598</v>
      </c>
      <c r="J24" s="286">
        <f t="shared" si="4"/>
        <v>40.48726854025783</v>
      </c>
      <c r="K24" s="286">
        <f t="shared" si="4"/>
        <v>4.9414815573723585</v>
      </c>
      <c r="L24" s="286">
        <f t="shared" si="4"/>
        <v>2.4471165895538336</v>
      </c>
      <c r="M24" s="284"/>
      <c r="N24">
        <v>466081499.7</v>
      </c>
      <c r="O24" s="269">
        <f>B24-N24</f>
        <v>0</v>
      </c>
    </row>
    <row r="25" spans="1:15" ht="12.75">
      <c r="A25" s="284" t="s">
        <v>14</v>
      </c>
      <c r="B25" s="303">
        <f t="shared" si="2"/>
        <v>693250501.42</v>
      </c>
      <c r="C25" s="345">
        <f>'table 2'!C26+table4!C26+table5!C26</f>
        <v>475749713</v>
      </c>
      <c r="D25" s="233">
        <f>'table 2'!D26+table4!D26+table5!D26+'table 6'!C27+'table 6'!D27+'table 6'!F27+'table 6'!E27</f>
        <v>16887390</v>
      </c>
      <c r="E25" s="345">
        <f>'table 2'!E26+table4!E26+table5!E26</f>
        <v>181901365.67</v>
      </c>
      <c r="F25" s="233">
        <f>'table 2'!F26+table4!F26+table5!F26+'table 6'!I27</f>
        <v>18329841.75</v>
      </c>
      <c r="G25" s="233">
        <f>table4!G26+table5!G26+'table 6'!K27+'table 2'!G26</f>
        <v>382191</v>
      </c>
      <c r="H25" s="287"/>
      <c r="I25" s="286">
        <f>IF(B25&lt;&gt;0,((+C25+D25)/B25*100),(IF(C25&lt;&gt;0,1,0)))</f>
        <v>71.06191802110793</v>
      </c>
      <c r="J25" s="286">
        <f t="shared" si="4"/>
        <v>26.238908633662362</v>
      </c>
      <c r="K25" s="286">
        <f t="shared" si="4"/>
        <v>2.644043056940397</v>
      </c>
      <c r="L25" s="286">
        <f t="shared" si="4"/>
        <v>0.05513028828931965</v>
      </c>
      <c r="M25" s="284"/>
      <c r="N25">
        <v>693250501.42</v>
      </c>
      <c r="O25" s="269">
        <f>B25-N25</f>
        <v>0</v>
      </c>
    </row>
    <row r="26" spans="1:15" ht="12.75">
      <c r="A26" s="284" t="s">
        <v>15</v>
      </c>
      <c r="B26" s="303">
        <f t="shared" si="2"/>
        <v>35059741.39</v>
      </c>
      <c r="C26" s="345">
        <f>'table 2'!C27+table4!C27+table5!C27</f>
        <v>19485987</v>
      </c>
      <c r="D26" s="233">
        <f>'table 2'!D27+table4!D27+table5!D27+'table 6'!C28+'table 6'!D28+'table 6'!F28+'table 6'!E28</f>
        <v>814367.1</v>
      </c>
      <c r="E26" s="345">
        <f>'table 2'!E27+table4!E27+table5!E27</f>
        <v>11487461.780000001</v>
      </c>
      <c r="F26" s="233">
        <f>'table 2'!F27+table4!F27+table5!F27+'table 6'!I28</f>
        <v>3271925.51</v>
      </c>
      <c r="G26" s="233">
        <f>table4!G27+table5!G27+'table 6'!K28+'table 2'!G27</f>
        <v>0</v>
      </c>
      <c r="H26" s="287"/>
      <c r="I26" s="286">
        <f>IF(B26&lt;&gt;0,((+C26+D26)/B26*100),(IF(C26&lt;&gt;0,1,0)))</f>
        <v>57.90217866749644</v>
      </c>
      <c r="J26" s="286">
        <f t="shared" si="4"/>
        <v>32.76539222641425</v>
      </c>
      <c r="K26" s="286">
        <f t="shared" si="4"/>
        <v>9.332429106089307</v>
      </c>
      <c r="L26" s="286">
        <f t="shared" si="4"/>
        <v>0</v>
      </c>
      <c r="M26" s="284"/>
      <c r="N26">
        <v>35059741.39</v>
      </c>
      <c r="O26" s="269">
        <f>B26-N26</f>
        <v>0</v>
      </c>
    </row>
    <row r="27" spans="1:13" ht="12.75">
      <c r="A27" s="284"/>
      <c r="B27" s="303"/>
      <c r="C27" s="233"/>
      <c r="D27" s="233"/>
      <c r="E27" s="233"/>
      <c r="F27" s="233"/>
      <c r="G27" s="233"/>
      <c r="H27" s="287"/>
      <c r="I27" s="286"/>
      <c r="J27" s="286"/>
      <c r="K27" s="286"/>
      <c r="L27" s="286"/>
      <c r="M27" s="284"/>
    </row>
    <row r="28" spans="1:15" ht="12.75">
      <c r="A28" s="284" t="s">
        <v>16</v>
      </c>
      <c r="B28" s="303">
        <f t="shared" si="2"/>
        <v>2121249762.15</v>
      </c>
      <c r="C28" s="345">
        <f>'table 2'!C29+table4!C29+table5!C29</f>
        <v>1571720435.32</v>
      </c>
      <c r="D28" s="233">
        <f>'table 2'!D29+table4!D29+table5!D29+'table 6'!C30+'table 6'!D30+'table 6'!F30+'table 6'!E30</f>
        <v>38877659.15</v>
      </c>
      <c r="E28" s="345">
        <f>'table 2'!E29+table4!E29+table5!E29</f>
        <v>418717533.46</v>
      </c>
      <c r="F28" s="233">
        <f>'table 2'!F29+table4!F29+table5!F29+'table 6'!I30</f>
        <v>91099471.22</v>
      </c>
      <c r="G28" s="233">
        <f>table4!G29+table5!G29+'table 6'!K30+'table 2'!G29</f>
        <v>834663</v>
      </c>
      <c r="H28" s="287"/>
      <c r="I28" s="286">
        <f>IF(B28&lt;&gt;0,((+C28+D28)/B28*100),(IF(C28&lt;&gt;0,1,0)))</f>
        <v>75.92684855919902</v>
      </c>
      <c r="J28" s="286">
        <f aca="true" t="shared" si="5" ref="J28:L32">IF($B28&lt;&gt;0,(E28/$B28*100),(IF(E28&lt;&gt;0,1,0)))</f>
        <v>19.73919059090936</v>
      </c>
      <c r="K28" s="286">
        <f t="shared" si="5"/>
        <v>4.294613149545663</v>
      </c>
      <c r="L28" s="286">
        <f t="shared" si="5"/>
        <v>0.039347700345951926</v>
      </c>
      <c r="M28" s="284"/>
      <c r="N28">
        <v>2121249762.15</v>
      </c>
      <c r="O28" s="269">
        <f aca="true" t="shared" si="6" ref="O28:O37">B28-N28</f>
        <v>0</v>
      </c>
    </row>
    <row r="29" spans="1:15" ht="12.75">
      <c r="A29" s="284" t="s">
        <v>17</v>
      </c>
      <c r="B29" s="303">
        <f t="shared" si="2"/>
        <v>1636393743.05</v>
      </c>
      <c r="C29" s="345">
        <f>'table 2'!C30+table4!C30+table5!C30</f>
        <v>628813764.14</v>
      </c>
      <c r="D29" s="233">
        <f>'table 2'!D30+table4!D30+table5!D30+'table 6'!C31+'table 6'!D31+'table 6'!F31+'table 6'!E31</f>
        <v>104944059.42999999</v>
      </c>
      <c r="E29" s="345">
        <f>'table 2'!E30+table4!E30+table5!E30</f>
        <v>794968196</v>
      </c>
      <c r="F29" s="233">
        <f>'table 2'!F30+table4!F30+table5!F30+'table 6'!I31</f>
        <v>107667723.48000002</v>
      </c>
      <c r="G29" s="233">
        <f>table4!G30+table5!G30+'table 6'!K31+'table 2'!G30</f>
        <v>0</v>
      </c>
      <c r="H29" s="287"/>
      <c r="I29" s="286">
        <f>IF(B29&lt;&gt;0,((+C29+D29)/B29*100),(IF(C29&lt;&gt;0,1,0)))</f>
        <v>44.839930895994634</v>
      </c>
      <c r="J29" s="286">
        <f t="shared" si="5"/>
        <v>48.580495945816494</v>
      </c>
      <c r="K29" s="286">
        <f t="shared" si="5"/>
        <v>6.579573158188874</v>
      </c>
      <c r="L29" s="286">
        <f t="shared" si="5"/>
        <v>0</v>
      </c>
      <c r="M29" s="284"/>
      <c r="N29">
        <v>1636393743.0500002</v>
      </c>
      <c r="O29" s="269">
        <f t="shared" si="6"/>
        <v>0</v>
      </c>
    </row>
    <row r="30" spans="1:15" ht="12.75">
      <c r="A30" s="284" t="s">
        <v>18</v>
      </c>
      <c r="B30" s="303">
        <f t="shared" si="2"/>
        <v>85967182.76</v>
      </c>
      <c r="C30" s="345">
        <f>'table 2'!C31+table4!C31+table5!C31</f>
        <v>45468108.25</v>
      </c>
      <c r="D30" s="233">
        <f>'table 2'!D31+table4!D31+table5!D31+'table 6'!C32+'table 6'!D32+'table 6'!F32+'table 6'!E32</f>
        <v>2218390.31</v>
      </c>
      <c r="E30" s="345">
        <f>'table 2'!E31+table4!E31+table5!E31</f>
        <v>32751426.16</v>
      </c>
      <c r="F30" s="233">
        <f>'table 2'!F31+table4!F31+table5!F31+'table 6'!I32</f>
        <v>5529258.04</v>
      </c>
      <c r="G30" s="233">
        <f>table4!G31+table5!G31+'table 6'!K32+'table 2'!G31</f>
        <v>0</v>
      </c>
      <c r="H30" s="287"/>
      <c r="I30" s="286">
        <f>IF(B30&lt;&gt;0,((+C30+D30)/B30*100),(IF(C30&lt;&gt;0,1,0)))</f>
        <v>55.47058427298869</v>
      </c>
      <c r="J30" s="286">
        <f t="shared" si="5"/>
        <v>38.09759155587803</v>
      </c>
      <c r="K30" s="286">
        <f t="shared" si="5"/>
        <v>6.431824171133277</v>
      </c>
      <c r="L30" s="286">
        <f t="shared" si="5"/>
        <v>0</v>
      </c>
      <c r="M30" s="284"/>
      <c r="N30">
        <v>85967182.76</v>
      </c>
      <c r="O30" s="269">
        <f t="shared" si="6"/>
        <v>0</v>
      </c>
    </row>
    <row r="31" spans="1:15" ht="12.75">
      <c r="A31" s="284" t="s">
        <v>19</v>
      </c>
      <c r="B31" s="303">
        <f t="shared" si="2"/>
        <v>187534332.28</v>
      </c>
      <c r="C31" s="345">
        <f>'table 2'!C32+table4!C32+table5!C32</f>
        <v>83101519.91</v>
      </c>
      <c r="D31" s="233">
        <f>'table 2'!D32+table4!D32+table5!D32+'table 6'!C33+'table 6'!D33+'table 6'!F33+'table 6'!E33</f>
        <v>4009153.64</v>
      </c>
      <c r="E31" s="345">
        <f>'table 2'!E32+table4!E32+table5!E32</f>
        <v>83563717.30999999</v>
      </c>
      <c r="F31" s="233">
        <f>'table 2'!F32+table4!F32+table5!F32+'table 6'!I33</f>
        <v>13322349.399999999</v>
      </c>
      <c r="G31" s="233">
        <f>table4!G32+table5!G32+'table 6'!K33+'table 2'!G32</f>
        <v>3537592.02</v>
      </c>
      <c r="H31" s="287"/>
      <c r="I31" s="286">
        <f>IF(B31&lt;&gt;0,((+C31+D31)/B31*100),(IF(C31&lt;&gt;0,1,0)))</f>
        <v>46.450520547852825</v>
      </c>
      <c r="J31" s="286">
        <f t="shared" si="5"/>
        <v>44.55915687226505</v>
      </c>
      <c r="K31" s="286">
        <f t="shared" si="5"/>
        <v>7.103952240653691</v>
      </c>
      <c r="L31" s="286">
        <f t="shared" si="5"/>
        <v>1.8863703392284263</v>
      </c>
      <c r="M31" s="284"/>
      <c r="N31">
        <v>187534332.28</v>
      </c>
      <c r="O31" s="269">
        <f t="shared" si="6"/>
        <v>0</v>
      </c>
    </row>
    <row r="32" spans="1:15" ht="12.75">
      <c r="A32" s="284" t="s">
        <v>20</v>
      </c>
      <c r="B32" s="303">
        <f t="shared" si="2"/>
        <v>39650450.98</v>
      </c>
      <c r="C32" s="345">
        <f>'table 2'!C33+table4!C33+table5!C33</f>
        <v>10163341.26</v>
      </c>
      <c r="D32" s="233">
        <f>'table 2'!D33+table4!D33+table5!D33+'table 6'!C34+'table 6'!D34+'table 6'!F34+'table 6'!E34</f>
        <v>637335.18</v>
      </c>
      <c r="E32" s="345">
        <f>'table 2'!E33+table4!E33+table5!E33</f>
        <v>20259065.189999998</v>
      </c>
      <c r="F32" s="233">
        <f>'table 2'!F33+table4!F33+table5!F33+'table 6'!I34</f>
        <v>4308733.350000001</v>
      </c>
      <c r="G32" s="233">
        <f>table4!G33+table5!G33+'table 6'!K34+'table 2'!G33</f>
        <v>4281976</v>
      </c>
      <c r="H32" s="287"/>
      <c r="I32" s="286">
        <f>IF(B32&lt;&gt;0,((+C32+D32)/B32*100),(IF(C32&lt;&gt;0,1,0)))</f>
        <v>27.239731637473547</v>
      </c>
      <c r="J32" s="286">
        <f t="shared" si="5"/>
        <v>51.09416082106817</v>
      </c>
      <c r="K32" s="286">
        <f t="shared" si="5"/>
        <v>10.866795316334132</v>
      </c>
      <c r="L32" s="286">
        <f t="shared" si="5"/>
        <v>10.799312225124154</v>
      </c>
      <c r="M32" s="284"/>
      <c r="N32">
        <v>39650450.98</v>
      </c>
      <c r="O32" s="269">
        <f t="shared" si="6"/>
        <v>0</v>
      </c>
    </row>
    <row r="33" spans="1:13" ht="12.75" customHeight="1">
      <c r="A33" s="284"/>
      <c r="B33" s="303"/>
      <c r="C33" s="233"/>
      <c r="D33" s="233"/>
      <c r="E33" s="233"/>
      <c r="F33" s="233"/>
      <c r="G33" s="233"/>
      <c r="H33" s="287"/>
      <c r="I33" s="284"/>
      <c r="J33" s="284"/>
      <c r="K33" s="284"/>
      <c r="L33" s="284"/>
      <c r="M33" s="284"/>
    </row>
    <row r="34" spans="1:15" ht="12.75">
      <c r="A34" s="284" t="s">
        <v>21</v>
      </c>
      <c r="B34" s="303">
        <f t="shared" si="2"/>
        <v>48223910.97</v>
      </c>
      <c r="C34" s="345">
        <f>'table 2'!C35+table4!C35+table5!C35</f>
        <v>31112152.7</v>
      </c>
      <c r="D34" s="233">
        <f>'table 2'!D35+table4!D35+table5!D35+'table 6'!C36+'table 6'!D36+'table 6'!F36+'table 6'!E36</f>
        <v>1659473.4400000002</v>
      </c>
      <c r="E34" s="345">
        <f>'table 2'!E35+table4!E35+table5!E35</f>
        <v>12140444.180000002</v>
      </c>
      <c r="F34" s="233">
        <f>'table 2'!F35+table4!F35+table5!F35+'table 6'!I36</f>
        <v>3286536.65</v>
      </c>
      <c r="G34" s="233">
        <f>table4!G35+table5!G35+'table 6'!K36+'table 2'!G35</f>
        <v>25304</v>
      </c>
      <c r="H34" s="287"/>
      <c r="I34" s="286">
        <f>IF(B34&lt;&gt;0,((+C34+D34)/B34*100),(IF(C34&lt;&gt;0,1,0)))</f>
        <v>67.95721350843394</v>
      </c>
      <c r="J34" s="286">
        <f aca="true" t="shared" si="7" ref="J34:L37">IF($B34&lt;&gt;0,(E34/$B34*100),(IF(E34&lt;&gt;0,1,0)))</f>
        <v>25.175154681155053</v>
      </c>
      <c r="K34" s="286">
        <f t="shared" si="7"/>
        <v>6.81515991526392</v>
      </c>
      <c r="L34" s="286">
        <f t="shared" si="7"/>
        <v>0.05247189514708082</v>
      </c>
      <c r="M34" s="284"/>
      <c r="N34">
        <v>48223910.97</v>
      </c>
      <c r="O34" s="269">
        <f t="shared" si="6"/>
        <v>0</v>
      </c>
    </row>
    <row r="35" spans="1:15" ht="12.75">
      <c r="A35" s="284" t="s">
        <v>22</v>
      </c>
      <c r="B35" s="303">
        <f t="shared" si="2"/>
        <v>222959888.20999998</v>
      </c>
      <c r="C35" s="345">
        <f>'table 2'!C36+table4!C36+table5!C36</f>
        <v>95488790.98</v>
      </c>
      <c r="D35" s="233">
        <f>'table 2'!D36+table4!D36+table5!D36+'table 6'!C37+'table 6'!D37+'table 6'!F37+'table 6'!E37</f>
        <v>5442896.89</v>
      </c>
      <c r="E35" s="345">
        <f>'table 2'!E36+table4!E36+table5!E36</f>
        <v>105754670.75999999</v>
      </c>
      <c r="F35" s="233">
        <f>'table 2'!F36+table4!F36+table5!F36+'table 6'!I37</f>
        <v>15882076.13</v>
      </c>
      <c r="G35" s="233">
        <f>table4!G36+table5!G36+'table 6'!K37+'table 2'!G36</f>
        <v>391453.45</v>
      </c>
      <c r="H35" s="287"/>
      <c r="I35" s="286">
        <f>IF(B35&lt;&gt;0,((+C35+D35)/B35*100),(IF(C35&lt;&gt;0,1,0)))</f>
        <v>45.26898926991528</v>
      </c>
      <c r="J35" s="286">
        <f t="shared" si="7"/>
        <v>47.43215096178757</v>
      </c>
      <c r="K35" s="286">
        <f t="shared" si="7"/>
        <v>7.123288524006209</v>
      </c>
      <c r="L35" s="286">
        <f t="shared" si="7"/>
        <v>0.1755712442909464</v>
      </c>
      <c r="M35" s="284"/>
      <c r="N35">
        <v>222959888.20999998</v>
      </c>
      <c r="O35" s="269">
        <f t="shared" si="6"/>
        <v>0</v>
      </c>
    </row>
    <row r="36" spans="1:15" ht="12.75">
      <c r="A36" s="284" t="s">
        <v>23</v>
      </c>
      <c r="B36" s="303">
        <f t="shared" si="2"/>
        <v>167852504.61999997</v>
      </c>
      <c r="C36" s="345">
        <f>'table 2'!C37+table4!C37+table5!C37</f>
        <v>53712575</v>
      </c>
      <c r="D36" s="233">
        <f>'table 2'!D37+table4!D37+table5!D37+'table 6'!C38+'table 6'!D38+'table 6'!F38+'table 6'!E38</f>
        <v>11536410.3</v>
      </c>
      <c r="E36" s="345">
        <f>'table 2'!E37+table4!E37+table5!E37</f>
        <v>87525117.28999999</v>
      </c>
      <c r="F36" s="233">
        <f>'table 2'!F37+table4!F37+table5!F37+'table 6'!I38</f>
        <v>14230607.059999999</v>
      </c>
      <c r="G36" s="233">
        <f>table4!G37+table5!G37+'table 6'!K38+'table 2'!G37</f>
        <v>847794.97</v>
      </c>
      <c r="H36" s="287"/>
      <c r="I36" s="286">
        <f>IF(B36&lt;&gt;0,((+C36+D36)/B36*100),(IF(C36&lt;&gt;0,1,0)))</f>
        <v>38.8728100588768</v>
      </c>
      <c r="J36" s="286">
        <f t="shared" si="7"/>
        <v>52.14406391381973</v>
      </c>
      <c r="K36" s="286">
        <f t="shared" si="7"/>
        <v>8.47804272698615</v>
      </c>
      <c r="L36" s="286">
        <f t="shared" si="7"/>
        <v>0.5050833003173332</v>
      </c>
      <c r="M36" s="284"/>
      <c r="N36">
        <v>167852504.61999997</v>
      </c>
      <c r="O36" s="424">
        <f t="shared" si="6"/>
        <v>0</v>
      </c>
    </row>
    <row r="37" spans="1:15" ht="12.75">
      <c r="A37" s="349" t="s">
        <v>24</v>
      </c>
      <c r="B37" s="351">
        <f t="shared" si="2"/>
        <v>97189783.51</v>
      </c>
      <c r="C37" s="350">
        <f>'table 2'!C38+table4!C38+table5!C38</f>
        <v>66807131.26</v>
      </c>
      <c r="D37" s="351">
        <f>'table 2'!D38+table4!D38+table5!D38+'table 6'!C39+'table 6'!D39+'table 6'!F39+'table 6'!E39</f>
        <v>2074711.27</v>
      </c>
      <c r="E37" s="350">
        <f>'table 2'!E38+table4!E38+table5!E38</f>
        <v>20966453.189999998</v>
      </c>
      <c r="F37" s="351">
        <f>'table 2'!F38+table4!F38+table5!F38+'table 6'!I39</f>
        <v>7341487.790000001</v>
      </c>
      <c r="G37" s="351">
        <f>table4!G38+table5!G38+'table 6'!K39+'table 2'!G38</f>
        <v>0</v>
      </c>
      <c r="H37" s="288"/>
      <c r="I37" s="289">
        <f>IF(B37&lt;&gt;0,((+C37+D37)/B37*100),(IF(C37&lt;&gt;0,1,0)))</f>
        <v>70.87354250862452</v>
      </c>
      <c r="J37" s="289">
        <f t="shared" si="7"/>
        <v>21.572692553474745</v>
      </c>
      <c r="K37" s="289">
        <f t="shared" si="7"/>
        <v>7.553764937900725</v>
      </c>
      <c r="L37" s="289">
        <f t="shared" si="7"/>
        <v>0</v>
      </c>
      <c r="M37" s="284"/>
      <c r="N37">
        <v>97189783.51</v>
      </c>
      <c r="O37" s="269">
        <f t="shared" si="6"/>
        <v>0</v>
      </c>
    </row>
    <row r="39" spans="1:13" ht="12.75">
      <c r="A39" s="352" t="s">
        <v>323</v>
      </c>
      <c r="B39" s="284"/>
      <c r="C39" s="345"/>
      <c r="D39" s="284"/>
      <c r="E39" s="284"/>
      <c r="F39" s="284"/>
      <c r="G39" s="284"/>
      <c r="H39" s="284"/>
      <c r="I39" s="286"/>
      <c r="J39" s="286"/>
      <c r="K39" s="286"/>
      <c r="L39" s="286"/>
      <c r="M39" s="284"/>
    </row>
    <row r="40" spans="1:12" ht="12.75">
      <c r="A40" s="92" t="s">
        <v>328</v>
      </c>
      <c r="I40" s="353"/>
      <c r="J40" s="353"/>
      <c r="K40" s="353"/>
      <c r="L40" s="353"/>
    </row>
    <row r="41" spans="1:12" ht="12.75">
      <c r="A41" s="354" t="s">
        <v>324</v>
      </c>
      <c r="I41" s="353"/>
      <c r="J41" s="353"/>
      <c r="K41" s="353"/>
      <c r="L41" s="353"/>
    </row>
    <row r="42" spans="1:12" ht="12.75">
      <c r="A42" s="355"/>
      <c r="I42" s="353"/>
      <c r="J42" s="353"/>
      <c r="K42" s="353"/>
      <c r="L42" s="353"/>
    </row>
    <row r="43" spans="9:12" ht="12.75">
      <c r="I43" s="139"/>
      <c r="J43" s="139"/>
      <c r="K43" s="139"/>
      <c r="L43" s="139"/>
    </row>
    <row r="44" spans="9:12" ht="12.75">
      <c r="I44" s="139"/>
      <c r="J44" s="139"/>
      <c r="K44" s="139"/>
      <c r="L44" s="139"/>
    </row>
    <row r="45" spans="5:6" ht="12.75">
      <c r="E45" s="356"/>
      <c r="F45" s="139"/>
    </row>
    <row r="48" ht="12.75">
      <c r="E48" s="357"/>
    </row>
    <row r="49" spans="5:6" ht="12.75">
      <c r="E49" s="358"/>
      <c r="F49" s="356"/>
    </row>
    <row r="50" spans="5:6" ht="12.75">
      <c r="E50" s="357"/>
      <c r="F50" s="356"/>
    </row>
    <row r="51" spans="5:6" ht="12.75">
      <c r="E51" s="356"/>
      <c r="F51" s="356"/>
    </row>
    <row r="52" spans="5:6" ht="12.75">
      <c r="E52" s="356"/>
      <c r="F52" s="357"/>
    </row>
    <row r="53" ht="12.75">
      <c r="E53" s="356"/>
    </row>
    <row r="54" spans="5:6" ht="12.75">
      <c r="E54" s="356"/>
      <c r="F54" s="357"/>
    </row>
    <row r="55" ht="12.75">
      <c r="E55" s="357"/>
    </row>
    <row r="56" ht="12.75">
      <c r="E56" s="357"/>
    </row>
    <row r="57" ht="12.75">
      <c r="E57" s="357"/>
    </row>
    <row r="59" ht="12.75">
      <c r="F59" s="356"/>
    </row>
    <row r="60" ht="12.75">
      <c r="F60" s="356"/>
    </row>
    <row r="61" ht="12.75">
      <c r="F61" s="356"/>
    </row>
    <row r="62" ht="12.75">
      <c r="F62" s="356"/>
    </row>
    <row r="63" ht="12.75">
      <c r="F63" s="356"/>
    </row>
    <row r="64" ht="12.75">
      <c r="F64" s="356"/>
    </row>
    <row r="65" ht="12.75">
      <c r="F65" s="357"/>
    </row>
    <row r="66" ht="12.75">
      <c r="F66" s="357"/>
    </row>
    <row r="67" ht="12.75">
      <c r="F67" s="357"/>
    </row>
  </sheetData>
  <sheetProtection password="CAF5" sheet="1" objects="1" scenarios="1"/>
  <mergeCells count="7">
    <mergeCell ref="C6:D6"/>
    <mergeCell ref="C5:F5"/>
    <mergeCell ref="I5:L5"/>
    <mergeCell ref="A1:L1"/>
    <mergeCell ref="A2:L2"/>
    <mergeCell ref="A3:L3"/>
    <mergeCell ref="G6:G7"/>
  </mergeCells>
  <printOptions horizontalCentered="1"/>
  <pageMargins left="0.59" right="0.56" top="0.83" bottom="1" header="0.67" footer="0.5"/>
  <pageSetup fitToHeight="1" fitToWidth="1" horizontalDpi="600" verticalDpi="600" orientation="landscape" scale="83" r:id="rId1"/>
  <headerFooter alignWithMargins="0">
    <oddFooter>&amp;L&amp;"Arial,Italic"&amp;9MSDE-DBS  12 /  2007&amp;C- 1 -&amp;R&amp;"Arial,Italic"&amp;9Selected Financial Data-Part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workbookViewId="0" topLeftCell="A1">
      <selection activeCell="H35" sqref="H35"/>
    </sheetView>
  </sheetViews>
  <sheetFormatPr defaultColWidth="9.140625" defaultRowHeight="12.75"/>
  <cols>
    <col min="1" max="1" width="13.8515625" style="0" customWidth="1"/>
    <col min="2" max="2" width="11.28125" style="0" customWidth="1"/>
    <col min="3" max="3" width="11.57421875" style="0" customWidth="1"/>
    <col min="4" max="5" width="13.00390625" style="0" customWidth="1"/>
    <col min="6" max="6" width="13.57421875" style="0" customWidth="1"/>
    <col min="7" max="7" width="14.7109375" style="0" customWidth="1"/>
    <col min="8" max="8" width="13.57421875" style="0" customWidth="1"/>
    <col min="9" max="9" width="13.421875" style="0" bestFit="1" customWidth="1"/>
    <col min="10" max="10" width="12.7109375" style="0" customWidth="1"/>
    <col min="11" max="11" width="15.00390625" style="0" bestFit="1" customWidth="1"/>
    <col min="12" max="12" width="13.00390625" style="0" customWidth="1"/>
    <col min="13" max="13" width="11.140625" style="0" customWidth="1"/>
    <col min="14" max="14" width="12.28125" style="0" bestFit="1" customWidth="1"/>
    <col min="15" max="15" width="10.28125" style="0" bestFit="1" customWidth="1"/>
    <col min="17" max="17" width="10.28125" style="0" bestFit="1" customWidth="1"/>
    <col min="19" max="20" width="10.28125" style="0" bestFit="1" customWidth="1"/>
  </cols>
  <sheetData>
    <row r="1" spans="1:14" ht="12.75">
      <c r="A1" s="457" t="s">
        <v>126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3" spans="1:14" s="39" customFormat="1" ht="12.75">
      <c r="A3" s="452" t="s">
        <v>262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</row>
    <row r="4" s="39" customFormat="1" ht="13.5" thickBot="1"/>
    <row r="5" spans="1:14" s="39" customFormat="1" ht="15" customHeight="1" thickTop="1">
      <c r="A5" s="402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1:17" s="39" customFormat="1" ht="13.5" thickBot="1">
      <c r="A6" s="427" t="s">
        <v>194</v>
      </c>
      <c r="B6" s="479" t="s">
        <v>135</v>
      </c>
      <c r="C6" s="479"/>
      <c r="D6" s="479"/>
      <c r="E6" s="473" t="s">
        <v>342</v>
      </c>
      <c r="F6" s="473" t="s">
        <v>220</v>
      </c>
      <c r="G6" s="479" t="s">
        <v>166</v>
      </c>
      <c r="H6" s="479"/>
      <c r="I6" s="479"/>
      <c r="J6" s="73"/>
      <c r="K6" s="73"/>
      <c r="L6" s="77"/>
      <c r="M6" s="77"/>
      <c r="N6" s="69"/>
      <c r="O6" s="69"/>
      <c r="P6" s="69"/>
      <c r="Q6" s="69"/>
    </row>
    <row r="7" spans="1:17" s="39" customFormat="1" ht="12.75">
      <c r="A7" s="474"/>
      <c r="B7" s="483" t="s">
        <v>25</v>
      </c>
      <c r="C7" s="482" t="s">
        <v>192</v>
      </c>
      <c r="D7" s="482"/>
      <c r="E7" s="485"/>
      <c r="F7" s="474"/>
      <c r="G7" s="480" t="s">
        <v>189</v>
      </c>
      <c r="H7" s="478" t="s">
        <v>190</v>
      </c>
      <c r="J7" s="102" t="s">
        <v>42</v>
      </c>
      <c r="K7" s="102"/>
      <c r="L7" s="76" t="s">
        <v>139</v>
      </c>
      <c r="M7" s="481" t="s">
        <v>193</v>
      </c>
      <c r="N7" s="74" t="s">
        <v>203</v>
      </c>
      <c r="O7" s="69"/>
      <c r="P7" s="69"/>
      <c r="Q7" s="69"/>
    </row>
    <row r="8" spans="1:14" s="39" customFormat="1" ht="12.75" customHeight="1">
      <c r="A8" s="474"/>
      <c r="B8" s="452"/>
      <c r="C8" s="102" t="s">
        <v>136</v>
      </c>
      <c r="D8" s="102" t="s">
        <v>83</v>
      </c>
      <c r="E8" s="485"/>
      <c r="F8" s="474"/>
      <c r="G8" s="474"/>
      <c r="H8" s="474"/>
      <c r="I8" s="112" t="s">
        <v>205</v>
      </c>
      <c r="J8" s="76" t="s">
        <v>43</v>
      </c>
      <c r="K8" s="76" t="s">
        <v>45</v>
      </c>
      <c r="L8" s="76" t="s">
        <v>140</v>
      </c>
      <c r="M8" s="430"/>
      <c r="N8" s="102" t="s">
        <v>172</v>
      </c>
    </row>
    <row r="9" spans="1:14" s="39" customFormat="1" ht="13.5" thickBot="1">
      <c r="A9" s="428"/>
      <c r="B9" s="484"/>
      <c r="C9" s="85" t="s">
        <v>137</v>
      </c>
      <c r="D9" s="85" t="s">
        <v>138</v>
      </c>
      <c r="E9" s="447"/>
      <c r="F9" s="428"/>
      <c r="G9" s="428"/>
      <c r="H9" s="428"/>
      <c r="I9" s="184" t="s">
        <v>206</v>
      </c>
      <c r="J9" s="85" t="s">
        <v>44</v>
      </c>
      <c r="K9" s="85" t="s">
        <v>46</v>
      </c>
      <c r="L9" s="85" t="s">
        <v>41</v>
      </c>
      <c r="M9" s="464"/>
      <c r="N9" s="85" t="s">
        <v>173</v>
      </c>
    </row>
    <row r="10" spans="1:14" s="183" customFormat="1" ht="12.75">
      <c r="A10" s="181" t="s">
        <v>0</v>
      </c>
      <c r="B10" s="183">
        <f aca="true" t="shared" si="0" ref="B10:N10">SUM(B12:B39)</f>
        <v>161702</v>
      </c>
      <c r="C10" s="183">
        <f t="shared" si="0"/>
        <v>148918</v>
      </c>
      <c r="D10" s="183">
        <f t="shared" si="0"/>
        <v>1069624.1099999999</v>
      </c>
      <c r="E10" s="183">
        <f t="shared" si="0"/>
        <v>13806350</v>
      </c>
      <c r="F10" s="183">
        <f t="shared" si="0"/>
        <v>1208441.23</v>
      </c>
      <c r="G10" s="183">
        <f t="shared" si="0"/>
        <v>166224110.88</v>
      </c>
      <c r="H10" s="183">
        <f t="shared" si="0"/>
        <v>21277600</v>
      </c>
      <c r="I10" s="183">
        <f t="shared" si="0"/>
        <v>35000</v>
      </c>
      <c r="J10" s="183">
        <f t="shared" si="0"/>
        <v>27000</v>
      </c>
      <c r="K10" s="183">
        <f t="shared" si="0"/>
        <v>12587136.829999998</v>
      </c>
      <c r="L10" s="183">
        <f t="shared" si="0"/>
        <v>274110.88</v>
      </c>
      <c r="M10" s="183">
        <f t="shared" si="0"/>
        <v>130543.85</v>
      </c>
      <c r="N10" s="183">
        <f t="shared" si="0"/>
        <v>0</v>
      </c>
    </row>
    <row r="11" spans="1:14" s="39" customFormat="1" ht="12.75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20" s="39" customFormat="1" ht="12.75">
      <c r="A12" s="39" t="s">
        <v>1</v>
      </c>
      <c r="B12" s="234">
        <v>37396</v>
      </c>
      <c r="C12" s="234">
        <v>14662</v>
      </c>
      <c r="D12" s="234">
        <v>60130</v>
      </c>
      <c r="E12" s="115">
        <v>0</v>
      </c>
      <c r="F12" s="73">
        <v>23042.75</v>
      </c>
      <c r="G12" s="227">
        <v>3176963</v>
      </c>
      <c r="H12" s="114">
        <v>182400</v>
      </c>
      <c r="I12" s="115">
        <v>0</v>
      </c>
      <c r="J12" s="115">
        <v>0</v>
      </c>
      <c r="K12" s="234">
        <v>304776</v>
      </c>
      <c r="L12" s="73">
        <v>11385</v>
      </c>
      <c r="M12" s="115">
        <v>0</v>
      </c>
      <c r="N12" s="115">
        <v>0</v>
      </c>
      <c r="S12" s="238"/>
      <c r="T12" s="238"/>
    </row>
    <row r="13" spans="1:14" s="39" customFormat="1" ht="12.75">
      <c r="A13" s="39" t="s">
        <v>2</v>
      </c>
      <c r="B13" s="73">
        <v>15549</v>
      </c>
      <c r="C13" s="73">
        <v>35529</v>
      </c>
      <c r="D13" s="73">
        <v>104770</v>
      </c>
      <c r="E13" s="115">
        <v>0</v>
      </c>
      <c r="F13" s="73">
        <v>92353.95</v>
      </c>
      <c r="G13" s="227">
        <v>14278389</v>
      </c>
      <c r="H13" s="114">
        <v>1384800</v>
      </c>
      <c r="I13" s="115">
        <v>0</v>
      </c>
      <c r="J13" s="115">
        <v>0</v>
      </c>
      <c r="K13" s="115">
        <v>0</v>
      </c>
      <c r="L13" s="73">
        <v>19645.9</v>
      </c>
      <c r="M13" s="115">
        <v>0</v>
      </c>
      <c r="N13" s="115">
        <v>0</v>
      </c>
    </row>
    <row r="14" spans="1:14" s="39" customFormat="1" ht="12.75">
      <c r="A14" s="39" t="s">
        <v>3</v>
      </c>
      <c r="B14" s="115">
        <v>0</v>
      </c>
      <c r="C14" s="115">
        <v>0</v>
      </c>
      <c r="D14" s="115">
        <v>0</v>
      </c>
      <c r="E14" s="73">
        <v>13806350</v>
      </c>
      <c r="F14" s="234">
        <v>113527.75</v>
      </c>
      <c r="G14" s="227">
        <v>11521779</v>
      </c>
      <c r="H14" s="114">
        <v>3955200</v>
      </c>
      <c r="I14" s="115">
        <v>0</v>
      </c>
      <c r="J14" s="115">
        <v>0</v>
      </c>
      <c r="K14" s="73">
        <v>3617932.02</v>
      </c>
      <c r="L14" s="73">
        <v>16015.84</v>
      </c>
      <c r="M14" s="115">
        <v>0</v>
      </c>
      <c r="N14" s="115">
        <v>0</v>
      </c>
    </row>
    <row r="15" spans="1:14" s="39" customFormat="1" ht="12.75">
      <c r="A15" s="39" t="s">
        <v>4</v>
      </c>
      <c r="B15" s="234">
        <v>36028</v>
      </c>
      <c r="C15" s="110">
        <v>0</v>
      </c>
      <c r="D15" s="73">
        <v>107767</v>
      </c>
      <c r="E15" s="115">
        <v>0</v>
      </c>
      <c r="F15" s="73">
        <v>152640.78</v>
      </c>
      <c r="G15" s="227">
        <v>18031329</v>
      </c>
      <c r="H15" s="114">
        <v>2556800</v>
      </c>
      <c r="I15" s="115">
        <v>0</v>
      </c>
      <c r="J15" s="115">
        <v>0</v>
      </c>
      <c r="K15" s="234">
        <v>1041049</v>
      </c>
      <c r="L15" s="73">
        <v>23833</v>
      </c>
      <c r="M15" s="234">
        <v>130543.85</v>
      </c>
      <c r="N15" s="115">
        <v>0</v>
      </c>
    </row>
    <row r="16" spans="1:14" s="39" customFormat="1" ht="12.75">
      <c r="A16" s="39" t="s">
        <v>5</v>
      </c>
      <c r="B16" s="234">
        <v>4510</v>
      </c>
      <c r="C16" s="234">
        <v>12249</v>
      </c>
      <c r="D16" s="73">
        <v>56583</v>
      </c>
      <c r="E16" s="115">
        <v>0</v>
      </c>
      <c r="F16" s="73">
        <v>31743.7</v>
      </c>
      <c r="G16" s="227">
        <v>3894816</v>
      </c>
      <c r="H16" s="114">
        <v>224800</v>
      </c>
      <c r="I16" s="115">
        <v>0</v>
      </c>
      <c r="J16" s="115">
        <v>0</v>
      </c>
      <c r="K16" s="234">
        <v>397084</v>
      </c>
      <c r="L16" s="73">
        <v>12051</v>
      </c>
      <c r="M16" s="115">
        <v>0</v>
      </c>
      <c r="N16" s="115">
        <v>0</v>
      </c>
    </row>
    <row r="17" spans="2:14" s="39" customFormat="1" ht="12.75">
      <c r="B17" s="115"/>
      <c r="C17" s="115"/>
      <c r="D17" s="115"/>
      <c r="E17" s="115"/>
      <c r="F17" s="115"/>
      <c r="G17" s="114"/>
      <c r="H17" s="114"/>
      <c r="I17" s="115"/>
      <c r="J17" s="115"/>
      <c r="K17" s="115"/>
      <c r="L17" s="115"/>
      <c r="M17" s="115"/>
      <c r="N17" s="115"/>
    </row>
    <row r="18" spans="1:14" s="39" customFormat="1" ht="12.75">
      <c r="A18" s="39" t="s">
        <v>6</v>
      </c>
      <c r="B18" s="115">
        <v>0</v>
      </c>
      <c r="C18" s="115">
        <v>0</v>
      </c>
      <c r="D18" s="115">
        <v>0</v>
      </c>
      <c r="E18" s="115">
        <v>0</v>
      </c>
      <c r="F18" s="73">
        <v>16567.08</v>
      </c>
      <c r="G18" s="227">
        <v>1771200</v>
      </c>
      <c r="H18" s="114">
        <v>88000</v>
      </c>
      <c r="I18" s="115">
        <v>0</v>
      </c>
      <c r="J18" s="115">
        <v>0</v>
      </c>
      <c r="K18" s="73">
        <v>307548</v>
      </c>
      <c r="L18" s="73">
        <v>10725</v>
      </c>
      <c r="M18" s="115">
        <v>0</v>
      </c>
      <c r="N18" s="115">
        <v>0</v>
      </c>
    </row>
    <row r="19" spans="1:14" s="39" customFormat="1" ht="12.75">
      <c r="A19" s="39" t="s">
        <v>7</v>
      </c>
      <c r="B19" s="234">
        <v>18042</v>
      </c>
      <c r="C19" s="234">
        <v>13018</v>
      </c>
      <c r="D19" s="234">
        <v>83634</v>
      </c>
      <c r="E19" s="115">
        <v>0</v>
      </c>
      <c r="F19" s="73">
        <v>44917.41</v>
      </c>
      <c r="G19" s="227">
        <v>6652497</v>
      </c>
      <c r="H19" s="114">
        <v>467200</v>
      </c>
      <c r="I19" s="110">
        <v>0</v>
      </c>
      <c r="J19" s="110">
        <v>0</v>
      </c>
      <c r="K19" s="232">
        <v>150203</v>
      </c>
      <c r="L19" s="73">
        <v>13535</v>
      </c>
      <c r="M19" s="115">
        <v>0</v>
      </c>
      <c r="N19" s="115">
        <v>0</v>
      </c>
    </row>
    <row r="20" spans="1:14" s="39" customFormat="1" ht="12.75">
      <c r="A20" s="39" t="s">
        <v>8</v>
      </c>
      <c r="B20" s="115">
        <v>0</v>
      </c>
      <c r="C20" s="115">
        <v>0</v>
      </c>
      <c r="D20" s="115">
        <v>0</v>
      </c>
      <c r="E20" s="115">
        <v>0</v>
      </c>
      <c r="F20" s="73">
        <v>37819.11</v>
      </c>
      <c r="G20" s="114">
        <v>3494954</v>
      </c>
      <c r="H20" s="227">
        <v>257600</v>
      </c>
      <c r="I20" s="115">
        <v>0</v>
      </c>
      <c r="J20" s="115">
        <v>0</v>
      </c>
      <c r="K20" s="73">
        <v>708422</v>
      </c>
      <c r="L20" s="234">
        <v>12037</v>
      </c>
      <c r="M20" s="110">
        <v>0</v>
      </c>
      <c r="N20" s="115">
        <v>0</v>
      </c>
    </row>
    <row r="21" spans="1:14" s="39" customFormat="1" ht="12.75">
      <c r="A21" s="39" t="s">
        <v>9</v>
      </c>
      <c r="B21" s="234">
        <v>12255</v>
      </c>
      <c r="C21" s="403">
        <v>28992</v>
      </c>
      <c r="D21" s="234">
        <v>130252.95</v>
      </c>
      <c r="E21" s="115">
        <v>0</v>
      </c>
      <c r="F21" s="73">
        <v>26351.4</v>
      </c>
      <c r="G21" s="227">
        <v>6970752</v>
      </c>
      <c r="H21" s="114">
        <v>356800</v>
      </c>
      <c r="I21" s="115">
        <v>0</v>
      </c>
      <c r="J21" s="115">
        <v>0</v>
      </c>
      <c r="K21" s="115">
        <v>0</v>
      </c>
      <c r="L21" s="73">
        <v>12645.13</v>
      </c>
      <c r="M21" s="115">
        <v>0</v>
      </c>
      <c r="N21" s="115">
        <v>0</v>
      </c>
    </row>
    <row r="22" spans="1:14" s="39" customFormat="1" ht="12.75">
      <c r="A22" s="39" t="s">
        <v>10</v>
      </c>
      <c r="B22" s="234">
        <v>3674</v>
      </c>
      <c r="C22" s="403">
        <v>2161</v>
      </c>
      <c r="D22" s="234">
        <v>51908.41</v>
      </c>
      <c r="E22" s="115">
        <v>0</v>
      </c>
      <c r="F22" s="73">
        <v>23373.91</v>
      </c>
      <c r="G22" s="227">
        <v>1646776</v>
      </c>
      <c r="H22" s="114">
        <v>68800</v>
      </c>
      <c r="I22" s="115">
        <v>0</v>
      </c>
      <c r="J22" s="115">
        <v>0</v>
      </c>
      <c r="K22" s="73">
        <v>360481</v>
      </c>
      <c r="L22" s="73">
        <v>30.76</v>
      </c>
      <c r="M22" s="115">
        <v>0</v>
      </c>
      <c r="N22" s="115">
        <v>0</v>
      </c>
    </row>
    <row r="23" spans="2:14" s="39" customFormat="1" ht="12.75">
      <c r="B23" s="115"/>
      <c r="C23" s="115"/>
      <c r="D23" s="115"/>
      <c r="E23" s="115"/>
      <c r="F23" s="115"/>
      <c r="G23" s="114"/>
      <c r="H23" s="114"/>
      <c r="I23" s="115"/>
      <c r="J23" s="115"/>
      <c r="K23" s="115"/>
      <c r="L23" s="115"/>
      <c r="M23" s="115"/>
      <c r="N23" s="115"/>
    </row>
    <row r="24" spans="1:14" s="39" customFormat="1" ht="12.75">
      <c r="A24" s="39" t="s">
        <v>11</v>
      </c>
      <c r="B24" s="234">
        <v>6760</v>
      </c>
      <c r="C24" s="234">
        <v>10831</v>
      </c>
      <c r="D24" s="234">
        <v>85782</v>
      </c>
      <c r="E24" s="115">
        <v>0</v>
      </c>
      <c r="F24" s="73">
        <v>64755.63</v>
      </c>
      <c r="G24" s="227">
        <v>7839284</v>
      </c>
      <c r="H24" s="114">
        <v>561600</v>
      </c>
      <c r="I24" s="115">
        <v>0</v>
      </c>
      <c r="J24" s="115">
        <v>0</v>
      </c>
      <c r="K24" s="73">
        <v>710609</v>
      </c>
      <c r="L24" s="73">
        <v>14685</v>
      </c>
      <c r="M24" s="115">
        <v>0</v>
      </c>
      <c r="N24" s="115">
        <v>0</v>
      </c>
    </row>
    <row r="25" spans="1:14" s="39" customFormat="1" ht="12.75">
      <c r="A25" s="39" t="s">
        <v>12</v>
      </c>
      <c r="B25" s="115">
        <v>0</v>
      </c>
      <c r="C25" s="115">
        <v>0</v>
      </c>
      <c r="D25" s="115">
        <v>0</v>
      </c>
      <c r="E25" s="115">
        <v>0</v>
      </c>
      <c r="F25" s="73">
        <v>18954.09</v>
      </c>
      <c r="G25" s="227">
        <v>2109580</v>
      </c>
      <c r="H25" s="114">
        <v>31200</v>
      </c>
      <c r="I25" s="110">
        <v>0</v>
      </c>
      <c r="J25" s="234">
        <v>27000</v>
      </c>
      <c r="K25" s="73">
        <v>272548</v>
      </c>
      <c r="L25" s="73">
        <v>10648</v>
      </c>
      <c r="M25" s="115">
        <v>0</v>
      </c>
      <c r="N25" s="115">
        <v>0</v>
      </c>
    </row>
    <row r="26" spans="1:14" s="39" customFormat="1" ht="12.75">
      <c r="A26" s="39" t="s">
        <v>13</v>
      </c>
      <c r="B26" s="115">
        <v>0</v>
      </c>
      <c r="C26" s="115">
        <v>0</v>
      </c>
      <c r="D26" s="115">
        <v>0</v>
      </c>
      <c r="E26" s="115">
        <v>0</v>
      </c>
      <c r="F26" s="73">
        <v>50457.64</v>
      </c>
      <c r="G26" s="227">
        <v>8358060</v>
      </c>
      <c r="H26" s="114">
        <v>545600</v>
      </c>
      <c r="I26" s="115">
        <v>0</v>
      </c>
      <c r="J26" s="115">
        <v>0</v>
      </c>
      <c r="K26" s="115">
        <v>0</v>
      </c>
      <c r="L26" s="234">
        <v>4654.11</v>
      </c>
      <c r="M26" s="115">
        <v>0</v>
      </c>
      <c r="N26" s="115">
        <v>0</v>
      </c>
    </row>
    <row r="27" spans="1:14" s="39" customFormat="1" ht="12.75">
      <c r="A27" s="39" t="s">
        <v>14</v>
      </c>
      <c r="B27" s="115">
        <v>0</v>
      </c>
      <c r="C27" s="115">
        <v>0</v>
      </c>
      <c r="D27" s="115">
        <v>0</v>
      </c>
      <c r="E27" s="115">
        <v>0</v>
      </c>
      <c r="F27" s="73">
        <v>58931.63</v>
      </c>
      <c r="G27" s="227">
        <v>9983473</v>
      </c>
      <c r="H27" s="114">
        <v>999200</v>
      </c>
      <c r="I27" s="115">
        <v>0</v>
      </c>
      <c r="J27" s="115">
        <v>0</v>
      </c>
      <c r="K27" s="73">
        <v>121806.81</v>
      </c>
      <c r="L27" s="73">
        <v>15647</v>
      </c>
      <c r="M27" s="115">
        <v>0</v>
      </c>
      <c r="N27" s="115">
        <v>0</v>
      </c>
    </row>
    <row r="28" spans="1:14" s="39" customFormat="1" ht="12.75">
      <c r="A28" s="39" t="s">
        <v>15</v>
      </c>
      <c r="B28" s="234">
        <v>2208</v>
      </c>
      <c r="C28" s="115">
        <v>0</v>
      </c>
      <c r="D28" s="234">
        <v>33406</v>
      </c>
      <c r="E28" s="115">
        <v>0</v>
      </c>
      <c r="F28" s="73">
        <v>3067.68</v>
      </c>
      <c r="G28" s="227">
        <v>1101818</v>
      </c>
      <c r="H28" s="114">
        <v>44000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</row>
    <row r="29" spans="2:14" s="39" customFormat="1" ht="12.75">
      <c r="B29" s="115"/>
      <c r="C29" s="115"/>
      <c r="D29" s="115"/>
      <c r="E29" s="115"/>
      <c r="F29" s="115"/>
      <c r="G29" s="114"/>
      <c r="H29" s="114"/>
      <c r="I29" s="115"/>
      <c r="J29" s="115"/>
      <c r="K29" s="115"/>
      <c r="L29" s="115"/>
      <c r="M29" s="115"/>
      <c r="N29" s="115"/>
    </row>
    <row r="30" spans="1:14" s="39" customFormat="1" ht="12.75">
      <c r="A30" s="39" t="s">
        <v>16</v>
      </c>
      <c r="B30" s="110">
        <v>0</v>
      </c>
      <c r="C30" s="115">
        <v>0</v>
      </c>
      <c r="D30" s="115">
        <v>0</v>
      </c>
      <c r="E30" s="115">
        <v>0</v>
      </c>
      <c r="F30" s="73">
        <v>146815.93</v>
      </c>
      <c r="G30" s="271">
        <v>21791275</v>
      </c>
      <c r="H30" s="114">
        <v>4128800</v>
      </c>
      <c r="I30" s="115">
        <v>0</v>
      </c>
      <c r="J30" s="115">
        <v>0</v>
      </c>
      <c r="K30" s="115">
        <v>0</v>
      </c>
      <c r="L30" s="73">
        <v>26985</v>
      </c>
      <c r="M30" s="115">
        <v>0</v>
      </c>
      <c r="N30" s="115">
        <v>0</v>
      </c>
    </row>
    <row r="31" spans="1:14" s="39" customFormat="1" ht="12.75">
      <c r="A31" s="39" t="s">
        <v>17</v>
      </c>
      <c r="B31" s="234">
        <v>12940</v>
      </c>
      <c r="C31" s="234">
        <v>24358</v>
      </c>
      <c r="D31" s="234">
        <v>149478.39</v>
      </c>
      <c r="E31" s="115">
        <v>0</v>
      </c>
      <c r="F31" s="73">
        <v>166326.64</v>
      </c>
      <c r="G31" s="227">
        <v>24585667.62</v>
      </c>
      <c r="H31" s="114">
        <v>4591200</v>
      </c>
      <c r="I31" s="115">
        <v>0</v>
      </c>
      <c r="J31" s="115">
        <v>0</v>
      </c>
      <c r="K31" s="73">
        <v>1515128</v>
      </c>
      <c r="L31" s="73">
        <v>26959.5</v>
      </c>
      <c r="M31" s="115">
        <v>0</v>
      </c>
      <c r="N31" s="115">
        <v>0</v>
      </c>
    </row>
    <row r="32" spans="1:14" s="39" customFormat="1" ht="12.75">
      <c r="A32" s="39" t="s">
        <v>18</v>
      </c>
      <c r="B32" s="234">
        <v>1283</v>
      </c>
      <c r="C32" s="110">
        <v>0</v>
      </c>
      <c r="D32" s="234">
        <v>32884</v>
      </c>
      <c r="E32" s="115">
        <v>0</v>
      </c>
      <c r="F32" s="73">
        <v>16671.45</v>
      </c>
      <c r="G32" s="227">
        <v>2276641.26</v>
      </c>
      <c r="H32" s="114">
        <v>53600</v>
      </c>
      <c r="I32" s="115">
        <v>0</v>
      </c>
      <c r="J32" s="115">
        <v>0</v>
      </c>
      <c r="K32" s="73">
        <v>306963</v>
      </c>
      <c r="L32" s="115">
        <v>0</v>
      </c>
      <c r="M32" s="115">
        <v>0</v>
      </c>
      <c r="N32" s="115">
        <v>0</v>
      </c>
    </row>
    <row r="33" spans="1:14" s="39" customFormat="1" ht="12.75">
      <c r="A33" s="39" t="s">
        <v>19</v>
      </c>
      <c r="B33" s="234">
        <v>3341</v>
      </c>
      <c r="C33" s="115">
        <v>0</v>
      </c>
      <c r="D33" s="234">
        <v>50674</v>
      </c>
      <c r="E33" s="115">
        <v>0</v>
      </c>
      <c r="F33" s="73">
        <v>31633.73</v>
      </c>
      <c r="G33" s="227">
        <v>4367474</v>
      </c>
      <c r="H33" s="114">
        <v>205600</v>
      </c>
      <c r="I33" s="115">
        <v>0</v>
      </c>
      <c r="J33" s="115">
        <v>0</v>
      </c>
      <c r="K33" s="73">
        <v>764127</v>
      </c>
      <c r="L33" s="234">
        <v>11952</v>
      </c>
      <c r="M33" s="110">
        <v>0</v>
      </c>
      <c r="N33" s="115">
        <v>0</v>
      </c>
    </row>
    <row r="34" spans="1:14" s="39" customFormat="1" ht="12.75">
      <c r="A34" s="39" t="s">
        <v>20</v>
      </c>
      <c r="B34" s="234">
        <v>1199</v>
      </c>
      <c r="C34" s="73">
        <v>2904</v>
      </c>
      <c r="D34" s="73">
        <v>38738.36</v>
      </c>
      <c r="E34" s="115">
        <v>0</v>
      </c>
      <c r="F34" s="73">
        <v>17501.14</v>
      </c>
      <c r="G34" s="227">
        <v>1278744</v>
      </c>
      <c r="H34" s="114">
        <v>46400</v>
      </c>
      <c r="I34" s="73">
        <v>35000</v>
      </c>
      <c r="J34" s="115">
        <v>0</v>
      </c>
      <c r="K34" s="73">
        <v>270945</v>
      </c>
      <c r="L34" s="73">
        <v>10368</v>
      </c>
      <c r="M34" s="115">
        <v>0</v>
      </c>
      <c r="N34" s="115">
        <v>0</v>
      </c>
    </row>
    <row r="35" spans="2:14" s="39" customFormat="1" ht="12.75">
      <c r="B35" s="115"/>
      <c r="C35" s="115"/>
      <c r="D35" s="115"/>
      <c r="E35" s="115"/>
      <c r="F35" s="115"/>
      <c r="G35" s="114"/>
      <c r="H35" s="114"/>
      <c r="I35" s="115"/>
      <c r="J35" s="115"/>
      <c r="K35" s="115"/>
      <c r="L35" s="115"/>
      <c r="M35" s="115"/>
      <c r="N35" s="115"/>
    </row>
    <row r="36" spans="1:14" s="39" customFormat="1" ht="12.75">
      <c r="A36" s="39" t="s">
        <v>21</v>
      </c>
      <c r="B36" s="115">
        <v>0</v>
      </c>
      <c r="C36" s="115">
        <v>0</v>
      </c>
      <c r="D36" s="115">
        <v>0</v>
      </c>
      <c r="E36" s="115">
        <v>0</v>
      </c>
      <c r="F36" s="73">
        <v>760.89</v>
      </c>
      <c r="G36" s="227">
        <v>1109389</v>
      </c>
      <c r="H36" s="114">
        <v>11200</v>
      </c>
      <c r="I36" s="115">
        <v>0</v>
      </c>
      <c r="J36" s="115">
        <v>0</v>
      </c>
      <c r="K36" s="73">
        <v>275320</v>
      </c>
      <c r="L36" s="115">
        <v>0</v>
      </c>
      <c r="M36" s="115">
        <v>0</v>
      </c>
      <c r="N36" s="115">
        <v>0</v>
      </c>
    </row>
    <row r="37" spans="1:14" s="39" customFormat="1" ht="12.75">
      <c r="A37" s="39" t="s">
        <v>22</v>
      </c>
      <c r="B37" s="110">
        <v>0</v>
      </c>
      <c r="C37" s="110">
        <v>0</v>
      </c>
      <c r="D37" s="110">
        <v>0</v>
      </c>
      <c r="E37" s="110">
        <v>0</v>
      </c>
      <c r="F37" s="73">
        <v>26031.61</v>
      </c>
      <c r="G37" s="227">
        <v>4465949</v>
      </c>
      <c r="H37" s="227">
        <v>285600</v>
      </c>
      <c r="I37" s="110">
        <v>0</v>
      </c>
      <c r="J37" s="115">
        <v>0</v>
      </c>
      <c r="K37" s="73">
        <v>523806</v>
      </c>
      <c r="L37" s="73">
        <v>8450.64</v>
      </c>
      <c r="M37" s="115">
        <v>0</v>
      </c>
      <c r="N37" s="115">
        <v>0</v>
      </c>
    </row>
    <row r="38" spans="1:14" s="39" customFormat="1" ht="12.75">
      <c r="A38" s="39" t="s">
        <v>23</v>
      </c>
      <c r="B38" s="73">
        <v>4357</v>
      </c>
      <c r="C38" s="73">
        <v>4214</v>
      </c>
      <c r="D38" s="73">
        <v>53110</v>
      </c>
      <c r="E38" s="115">
        <v>0</v>
      </c>
      <c r="F38" s="73">
        <v>29547.05</v>
      </c>
      <c r="G38" s="227">
        <v>3439906</v>
      </c>
      <c r="H38" s="114">
        <v>185600</v>
      </c>
      <c r="I38" s="115">
        <v>0</v>
      </c>
      <c r="J38" s="115">
        <v>0</v>
      </c>
      <c r="K38" s="73">
        <v>691506</v>
      </c>
      <c r="L38" s="73">
        <v>11858</v>
      </c>
      <c r="M38" s="115">
        <v>0</v>
      </c>
      <c r="N38" s="115">
        <v>0</v>
      </c>
    </row>
    <row r="39" spans="1:14" s="39" customFormat="1" ht="12.75">
      <c r="A39" s="91" t="s">
        <v>24</v>
      </c>
      <c r="B39" s="239">
        <v>2160</v>
      </c>
      <c r="C39" s="221">
        <v>0</v>
      </c>
      <c r="D39" s="237">
        <v>30506</v>
      </c>
      <c r="E39" s="221">
        <v>0</v>
      </c>
      <c r="F39" s="237">
        <v>14648.28</v>
      </c>
      <c r="G39" s="308">
        <v>2077395</v>
      </c>
      <c r="H39" s="242">
        <v>45600</v>
      </c>
      <c r="I39" s="221">
        <v>0</v>
      </c>
      <c r="J39" s="221">
        <v>0</v>
      </c>
      <c r="K39" s="237">
        <v>246883</v>
      </c>
      <c r="L39" s="221">
        <v>0</v>
      </c>
      <c r="M39" s="221">
        <v>0</v>
      </c>
      <c r="N39" s="115">
        <v>0</v>
      </c>
    </row>
    <row r="40" s="39" customFormat="1" ht="12.75"/>
    <row r="41" spans="7:11" s="39" customFormat="1" ht="12.75">
      <c r="G41" s="268"/>
      <c r="H41" s="268"/>
      <c r="K41" s="124"/>
    </row>
    <row r="42" spans="7:11" s="39" customFormat="1" ht="12.75">
      <c r="G42" s="124"/>
      <c r="H42" s="124"/>
      <c r="I42" s="124"/>
      <c r="J42" s="124"/>
      <c r="K42" s="124"/>
    </row>
    <row r="43" spans="7:11" s="39" customFormat="1" ht="12.75">
      <c r="G43" s="124"/>
      <c r="H43" s="268"/>
      <c r="I43" s="186"/>
      <c r="J43" s="186"/>
      <c r="K43" s="124"/>
    </row>
    <row r="44" spans="7:11" s="39" customFormat="1" ht="12.75">
      <c r="G44" s="124"/>
      <c r="H44" s="268"/>
      <c r="I44" s="124"/>
      <c r="J44" s="124"/>
      <c r="K44" s="124"/>
    </row>
    <row r="45" spans="7:11" s="39" customFormat="1" ht="12.75">
      <c r="G45" s="124"/>
      <c r="H45" s="268"/>
      <c r="I45" s="124"/>
      <c r="J45" s="124"/>
      <c r="K45" s="124"/>
    </row>
    <row r="46" spans="7:11" s="39" customFormat="1" ht="12.75">
      <c r="G46" s="124"/>
      <c r="H46" s="268"/>
      <c r="I46" s="124"/>
      <c r="J46" s="124"/>
      <c r="K46" s="124"/>
    </row>
    <row r="47" spans="7:11" s="39" customFormat="1" ht="12.75">
      <c r="G47" s="124"/>
      <c r="H47" s="268"/>
      <c r="I47" s="124"/>
      <c r="J47" s="124"/>
      <c r="K47" s="124"/>
    </row>
    <row r="48" ht="12.75">
      <c r="H48" s="268"/>
    </row>
    <row r="49" ht="12.75">
      <c r="H49" s="268"/>
    </row>
    <row r="50" ht="12.75">
      <c r="H50" s="268"/>
    </row>
    <row r="51" ht="12.75">
      <c r="H51" s="268"/>
    </row>
    <row r="52" ht="12.75">
      <c r="H52" s="268"/>
    </row>
    <row r="53" ht="12.75">
      <c r="H53" s="268"/>
    </row>
    <row r="54" ht="12.75">
      <c r="H54" s="268"/>
    </row>
    <row r="55" ht="12.75">
      <c r="H55" s="268"/>
    </row>
    <row r="56" ht="12.75">
      <c r="H56" s="268"/>
    </row>
    <row r="57" ht="12.75">
      <c r="H57" s="268"/>
    </row>
    <row r="58" ht="12.75">
      <c r="H58" s="268"/>
    </row>
    <row r="59" ht="12.75">
      <c r="H59" s="268"/>
    </row>
    <row r="60" ht="12.75">
      <c r="H60" s="268"/>
    </row>
    <row r="61" ht="12.75">
      <c r="H61" s="268"/>
    </row>
    <row r="62" ht="12.75">
      <c r="H62" s="268"/>
    </row>
    <row r="63" ht="12.75">
      <c r="H63" s="268"/>
    </row>
    <row r="64" ht="12.75">
      <c r="H64" s="268"/>
    </row>
    <row r="65" ht="12.75">
      <c r="H65" s="268"/>
    </row>
    <row r="66" ht="12.75">
      <c r="H66" s="268"/>
    </row>
    <row r="67" ht="12.75">
      <c r="H67" s="268"/>
    </row>
    <row r="68" ht="12.75">
      <c r="H68" s="268"/>
    </row>
    <row r="69" ht="12.75">
      <c r="H69" s="268"/>
    </row>
    <row r="70" ht="12.75">
      <c r="H70" s="268"/>
    </row>
    <row r="71" ht="12.75">
      <c r="H71" s="268"/>
    </row>
    <row r="72" ht="12.75">
      <c r="H72" s="268"/>
    </row>
    <row r="74" spans="7:9" ht="12.75">
      <c r="G74" s="269"/>
      <c r="H74" s="269"/>
      <c r="I74" s="269"/>
    </row>
    <row r="76" spans="7:9" ht="12.75">
      <c r="G76" s="183"/>
      <c r="H76" s="183"/>
      <c r="I76" s="183"/>
    </row>
    <row r="78" spans="7:9" ht="12.75">
      <c r="G78" s="269"/>
      <c r="H78" s="269"/>
      <c r="I78" s="269"/>
    </row>
  </sheetData>
  <sheetProtection password="CAF5" sheet="1" objects="1" scenarios="1"/>
  <mergeCells count="13">
    <mergeCell ref="G7:G9"/>
    <mergeCell ref="H7:H9"/>
    <mergeCell ref="M7:M9"/>
    <mergeCell ref="A6:A9"/>
    <mergeCell ref="F6:F9"/>
    <mergeCell ref="C7:D7"/>
    <mergeCell ref="B7:B9"/>
    <mergeCell ref="E6:E9"/>
    <mergeCell ref="A1:N1"/>
    <mergeCell ref="A3:N3"/>
    <mergeCell ref="B5:N5"/>
    <mergeCell ref="B6:D6"/>
    <mergeCell ref="G6:I6"/>
  </mergeCells>
  <printOptions horizontalCentered="1"/>
  <pageMargins left="0.27" right="0.25" top="0.83" bottom="1" header="0.67" footer="0.5"/>
  <pageSetup fitToHeight="1" fitToWidth="1" horizontalDpi="600" verticalDpi="600" orientation="landscape" scale="74" r:id="rId1"/>
  <headerFooter alignWithMargins="0">
    <oddFooter>&amp;L&amp;"Arial,Italic"&amp;9MSDE-DBS  10 / 2007&amp;C- 10 -&amp;R&amp;"Arial,Italic"&amp;9Selected Financial Data-Part 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 topLeftCell="A4">
      <selection activeCell="F23" sqref="F23"/>
    </sheetView>
  </sheetViews>
  <sheetFormatPr defaultColWidth="9.140625" defaultRowHeight="12.75"/>
  <cols>
    <col min="1" max="1" width="14.8515625" style="0" customWidth="1"/>
    <col min="2" max="2" width="14.00390625" style="0" customWidth="1"/>
    <col min="3" max="3" width="10.57421875" style="0" customWidth="1"/>
    <col min="4" max="4" width="12.7109375" style="0" customWidth="1"/>
    <col min="5" max="5" width="11.8515625" style="0" customWidth="1"/>
    <col min="6" max="6" width="10.28125" style="0" customWidth="1"/>
    <col min="7" max="7" width="12.28125" style="0" customWidth="1"/>
    <col min="8" max="8" width="11.7109375" style="0" customWidth="1"/>
    <col min="9" max="9" width="10.7109375" style="0" customWidth="1"/>
    <col min="10" max="10" width="10.140625" style="0" customWidth="1"/>
    <col min="11" max="11" width="11.7109375" style="0" customWidth="1"/>
    <col min="12" max="12" width="11.57421875" style="64" customWidth="1"/>
    <col min="13" max="13" width="11.7109375" style="0" customWidth="1"/>
    <col min="14" max="14" width="11.140625" style="0" customWidth="1"/>
    <col min="15" max="15" width="11.57421875" style="0" customWidth="1"/>
    <col min="16" max="16" width="12.7109375" style="64" customWidth="1"/>
    <col min="17" max="17" width="16.7109375" style="0" customWidth="1"/>
    <col min="19" max="19" width="12.28125" style="0" customWidth="1"/>
    <col min="20" max="20" width="10.28125" style="0" bestFit="1" customWidth="1"/>
  </cols>
  <sheetData>
    <row r="1" spans="1:16" ht="12.75">
      <c r="A1" s="493" t="s">
        <v>126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16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360"/>
      <c r="M2" s="65"/>
      <c r="N2" s="65"/>
      <c r="O2" s="65"/>
      <c r="P2" s="360"/>
    </row>
    <row r="3" spans="1:16" ht="12.75">
      <c r="A3" s="493" t="s">
        <v>262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</row>
    <row r="4" spans="1:16" ht="13.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360"/>
      <c r="M4" s="65"/>
      <c r="N4" s="65"/>
      <c r="O4" s="65"/>
      <c r="P4" s="362"/>
    </row>
    <row r="5" spans="1:16" ht="15" customHeight="1" thickTop="1">
      <c r="A5" s="66"/>
      <c r="B5" s="494" t="s">
        <v>61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67"/>
      <c r="P5" s="363"/>
    </row>
    <row r="6" spans="1:19" ht="13.5" thickBot="1">
      <c r="A6" s="3"/>
      <c r="B6" s="479" t="s">
        <v>162</v>
      </c>
      <c r="C6" s="479"/>
      <c r="D6" s="479"/>
      <c r="E6" s="479"/>
      <c r="F6" s="479"/>
      <c r="G6" s="479"/>
      <c r="H6" s="479"/>
      <c r="I6" s="479"/>
      <c r="J6" s="473" t="s">
        <v>219</v>
      </c>
      <c r="K6" s="473" t="s">
        <v>195</v>
      </c>
      <c r="L6" s="426" t="s">
        <v>201</v>
      </c>
      <c r="M6" s="473" t="s">
        <v>202</v>
      </c>
      <c r="N6" s="473" t="s">
        <v>171</v>
      </c>
      <c r="O6" s="492" t="s">
        <v>256</v>
      </c>
      <c r="P6" s="489" t="s">
        <v>167</v>
      </c>
      <c r="R6" s="3"/>
      <c r="S6" s="3"/>
    </row>
    <row r="7" spans="1:19" ht="12.75">
      <c r="A7" s="497" t="s">
        <v>194</v>
      </c>
      <c r="B7" s="486" t="s">
        <v>183</v>
      </c>
      <c r="C7" s="480" t="s">
        <v>208</v>
      </c>
      <c r="D7" s="487" t="s">
        <v>188</v>
      </c>
      <c r="E7" s="486" t="s">
        <v>182</v>
      </c>
      <c r="F7" s="486" t="s">
        <v>184</v>
      </c>
      <c r="G7" s="485" t="s">
        <v>185</v>
      </c>
      <c r="H7" s="486" t="s">
        <v>186</v>
      </c>
      <c r="I7" s="486" t="s">
        <v>187</v>
      </c>
      <c r="J7" s="485"/>
      <c r="K7" s="485"/>
      <c r="L7" s="490"/>
      <c r="M7" s="485"/>
      <c r="N7" s="495"/>
      <c r="O7" s="485"/>
      <c r="P7" s="490"/>
      <c r="R7" s="3"/>
      <c r="S7" s="3"/>
    </row>
    <row r="8" spans="1:19" ht="12.75">
      <c r="A8" s="498"/>
      <c r="B8" s="486"/>
      <c r="C8" s="485"/>
      <c r="D8" s="488"/>
      <c r="E8" s="486"/>
      <c r="F8" s="486"/>
      <c r="G8" s="485"/>
      <c r="H8" s="486"/>
      <c r="I8" s="486"/>
      <c r="J8" s="485"/>
      <c r="K8" s="485"/>
      <c r="L8" s="490"/>
      <c r="M8" s="485"/>
      <c r="N8" s="495"/>
      <c r="O8" s="485"/>
      <c r="P8" s="490"/>
      <c r="R8" s="3"/>
      <c r="S8" s="3"/>
    </row>
    <row r="9" spans="1:16" ht="12.75">
      <c r="A9" s="498"/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90"/>
      <c r="M9" s="485"/>
      <c r="N9" s="495"/>
      <c r="O9" s="485"/>
      <c r="P9" s="490"/>
    </row>
    <row r="10" spans="1:16" ht="13.5" thickBot="1">
      <c r="A10" s="499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91"/>
      <c r="M10" s="447"/>
      <c r="N10" s="496"/>
      <c r="O10" s="447"/>
      <c r="P10" s="491"/>
    </row>
    <row r="11" spans="1:16" s="47" customFormat="1" ht="12.75">
      <c r="A11" s="52" t="s">
        <v>0</v>
      </c>
      <c r="B11" s="125">
        <f>SUM(B13:B40)</f>
        <v>0</v>
      </c>
      <c r="C11" s="125">
        <f>SUM(C13:C40)</f>
        <v>0</v>
      </c>
      <c r="D11" s="125">
        <f aca="true" t="shared" si="0" ref="D11:P11">SUM(D13:D40)</f>
        <v>66636347.989999995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560000</v>
      </c>
      <c r="I11" s="125">
        <f t="shared" si="0"/>
        <v>0</v>
      </c>
      <c r="J11" s="125">
        <f t="shared" si="0"/>
        <v>124194</v>
      </c>
      <c r="K11" s="125">
        <f>SUM(K13:K40)</f>
        <v>3729357.1199999996</v>
      </c>
      <c r="L11" s="400">
        <f>SUM(L13:L40)</f>
        <v>4977610.63</v>
      </c>
      <c r="M11" s="125">
        <f>SUM(M13:M40)</f>
        <v>4058758.74</v>
      </c>
      <c r="N11" s="125">
        <f t="shared" si="0"/>
        <v>666650</v>
      </c>
      <c r="O11" s="125">
        <f t="shared" si="0"/>
        <v>15349.56</v>
      </c>
      <c r="P11" s="400">
        <f t="shared" si="0"/>
        <v>36086557.06</v>
      </c>
    </row>
    <row r="12" spans="1:19" ht="12.75">
      <c r="A12" s="3"/>
      <c r="B12" s="35"/>
      <c r="C12" s="35"/>
      <c r="D12" s="177"/>
      <c r="E12" s="35"/>
      <c r="F12" s="35"/>
      <c r="G12" s="35"/>
      <c r="H12" s="35"/>
      <c r="I12" s="35"/>
      <c r="J12" s="35"/>
      <c r="K12" s="35"/>
      <c r="L12" s="303"/>
      <c r="M12" s="35"/>
      <c r="N12" s="35"/>
      <c r="P12" s="284"/>
      <c r="S12" s="5"/>
    </row>
    <row r="13" spans="1:20" ht="12.75">
      <c r="A13" t="s">
        <v>1</v>
      </c>
      <c r="B13" s="367">
        <v>0</v>
      </c>
      <c r="C13" s="367">
        <v>0</v>
      </c>
      <c r="D13" s="404">
        <v>0</v>
      </c>
      <c r="E13" s="367">
        <v>0</v>
      </c>
      <c r="F13" s="367">
        <v>0</v>
      </c>
      <c r="G13" s="405">
        <v>0</v>
      </c>
      <c r="H13" s="367">
        <v>0</v>
      </c>
      <c r="I13" s="367">
        <v>0</v>
      </c>
      <c r="J13" s="367">
        <v>0</v>
      </c>
      <c r="K13" s="35">
        <v>172096</v>
      </c>
      <c r="L13" s="303">
        <v>391989.34</v>
      </c>
      <c r="M13" s="367">
        <v>0</v>
      </c>
      <c r="N13" s="367">
        <v>0</v>
      </c>
      <c r="O13" s="367">
        <v>0</v>
      </c>
      <c r="P13" s="303">
        <v>2113324.54</v>
      </c>
      <c r="Q13" s="270"/>
      <c r="S13" s="5"/>
      <c r="T13" s="270"/>
    </row>
    <row r="14" spans="1:19" ht="12.75">
      <c r="A14" t="s">
        <v>2</v>
      </c>
      <c r="B14" s="367">
        <v>0</v>
      </c>
      <c r="C14" s="367">
        <v>0</v>
      </c>
      <c r="D14" s="303">
        <v>2098815</v>
      </c>
      <c r="E14" s="367">
        <v>0</v>
      </c>
      <c r="F14" s="367">
        <v>0</v>
      </c>
      <c r="G14" s="405">
        <v>0</v>
      </c>
      <c r="H14" s="367">
        <v>0</v>
      </c>
      <c r="I14" s="367">
        <v>0</v>
      </c>
      <c r="J14" s="367">
        <v>0</v>
      </c>
      <c r="K14" s="367">
        <v>0</v>
      </c>
      <c r="L14" s="303">
        <v>64097.01</v>
      </c>
      <c r="M14" s="367">
        <v>0</v>
      </c>
      <c r="N14" s="367">
        <v>0</v>
      </c>
      <c r="O14" s="367">
        <v>0</v>
      </c>
      <c r="P14" s="303">
        <v>2087281.6</v>
      </c>
      <c r="S14" s="5"/>
    </row>
    <row r="15" spans="1:19" ht="12.75">
      <c r="A15" t="s">
        <v>3</v>
      </c>
      <c r="B15" s="367">
        <v>0</v>
      </c>
      <c r="C15" s="367">
        <v>0</v>
      </c>
      <c r="D15" s="214">
        <v>5010430.02</v>
      </c>
      <c r="E15" s="367">
        <v>0</v>
      </c>
      <c r="F15" s="367">
        <v>0</v>
      </c>
      <c r="G15" s="405">
        <v>0</v>
      </c>
      <c r="H15" s="367">
        <v>0</v>
      </c>
      <c r="I15" s="367">
        <v>0</v>
      </c>
      <c r="J15" s="367">
        <v>0</v>
      </c>
      <c r="K15" s="35">
        <v>1832000</v>
      </c>
      <c r="L15" s="303">
        <v>355802.3</v>
      </c>
      <c r="M15" s="35">
        <v>231749.17</v>
      </c>
      <c r="N15" s="367">
        <v>0</v>
      </c>
      <c r="O15" s="367">
        <v>0</v>
      </c>
      <c r="P15" s="303">
        <v>36704.91</v>
      </c>
      <c r="S15" s="5"/>
    </row>
    <row r="16" spans="1:19" ht="12.75">
      <c r="A16" t="s">
        <v>4</v>
      </c>
      <c r="B16" s="367">
        <v>0</v>
      </c>
      <c r="C16" s="367">
        <v>0</v>
      </c>
      <c r="D16" s="214">
        <v>5092171</v>
      </c>
      <c r="E16" s="367">
        <v>0</v>
      </c>
      <c r="F16" s="367">
        <v>0</v>
      </c>
      <c r="G16" s="405">
        <v>0</v>
      </c>
      <c r="H16" s="367">
        <v>0</v>
      </c>
      <c r="I16" s="367">
        <v>0</v>
      </c>
      <c r="J16" s="367">
        <v>0</v>
      </c>
      <c r="K16" s="367">
        <v>0</v>
      </c>
      <c r="L16" s="303">
        <v>35272.73</v>
      </c>
      <c r="M16" s="35">
        <v>338549.61</v>
      </c>
      <c r="N16" s="367">
        <v>0</v>
      </c>
      <c r="O16" s="367">
        <v>0</v>
      </c>
      <c r="P16" s="303">
        <v>6863068.899999999</v>
      </c>
      <c r="S16" s="5"/>
    </row>
    <row r="17" spans="1:19" ht="12.75">
      <c r="A17" t="s">
        <v>5</v>
      </c>
      <c r="B17" s="367">
        <v>0</v>
      </c>
      <c r="C17" s="367">
        <v>0</v>
      </c>
      <c r="D17" s="214">
        <v>277382</v>
      </c>
      <c r="E17" s="367">
        <v>0</v>
      </c>
      <c r="F17" s="367">
        <v>0</v>
      </c>
      <c r="G17" s="405">
        <v>0</v>
      </c>
      <c r="H17" s="367">
        <v>0</v>
      </c>
      <c r="I17" s="367">
        <v>0</v>
      </c>
      <c r="J17" s="214">
        <v>124194</v>
      </c>
      <c r="K17" s="405">
        <v>0</v>
      </c>
      <c r="L17" s="175">
        <v>357678.54</v>
      </c>
      <c r="M17" s="367">
        <v>0</v>
      </c>
      <c r="N17" s="367">
        <v>0</v>
      </c>
      <c r="O17" s="367">
        <v>0</v>
      </c>
      <c r="P17" s="303">
        <v>473897.34</v>
      </c>
      <c r="S17" s="5"/>
    </row>
    <row r="18" spans="2:19" ht="12.75">
      <c r="B18" s="367"/>
      <c r="C18" s="367"/>
      <c r="D18" s="404"/>
      <c r="E18" s="367"/>
      <c r="F18" s="367"/>
      <c r="G18" s="367"/>
      <c r="H18" s="367"/>
      <c r="I18" s="367"/>
      <c r="J18" s="367"/>
      <c r="K18" s="367"/>
      <c r="L18" s="404"/>
      <c r="M18" s="367"/>
      <c r="N18" s="367"/>
      <c r="O18" s="5"/>
      <c r="P18" s="404"/>
      <c r="S18" s="5"/>
    </row>
    <row r="19" spans="1:19" ht="12.75">
      <c r="A19" t="s">
        <v>6</v>
      </c>
      <c r="B19" s="367">
        <v>0</v>
      </c>
      <c r="C19" s="367">
        <v>0</v>
      </c>
      <c r="D19" s="303">
        <v>296643</v>
      </c>
      <c r="E19" s="367">
        <v>0</v>
      </c>
      <c r="F19" s="367">
        <v>0</v>
      </c>
      <c r="G19" s="405">
        <v>0</v>
      </c>
      <c r="H19" s="367">
        <v>0</v>
      </c>
      <c r="I19" s="367">
        <v>0</v>
      </c>
      <c r="J19" s="367">
        <v>0</v>
      </c>
      <c r="K19" s="233">
        <v>119750</v>
      </c>
      <c r="L19" s="303">
        <v>341092</v>
      </c>
      <c r="M19" s="367">
        <v>0</v>
      </c>
      <c r="N19" s="367">
        <v>0</v>
      </c>
      <c r="O19" s="367">
        <v>0</v>
      </c>
      <c r="P19" s="303">
        <v>67203.68</v>
      </c>
      <c r="S19" s="5"/>
    </row>
    <row r="20" spans="1:19" ht="12.75">
      <c r="A20" t="s">
        <v>7</v>
      </c>
      <c r="B20" s="367">
        <v>0</v>
      </c>
      <c r="C20" s="367">
        <v>0</v>
      </c>
      <c r="D20" s="303">
        <v>266166</v>
      </c>
      <c r="E20" s="367">
        <v>0</v>
      </c>
      <c r="F20" s="367">
        <v>0</v>
      </c>
      <c r="G20" s="405">
        <v>0</v>
      </c>
      <c r="H20" s="367">
        <v>0</v>
      </c>
      <c r="I20" s="367">
        <v>0</v>
      </c>
      <c r="J20" s="367">
        <v>0</v>
      </c>
      <c r="K20" s="35">
        <v>30699.9</v>
      </c>
      <c r="L20" s="303">
        <v>40862.53</v>
      </c>
      <c r="M20" s="35">
        <v>358847.37</v>
      </c>
      <c r="N20" s="367">
        <v>0</v>
      </c>
      <c r="O20" s="367">
        <v>0</v>
      </c>
      <c r="P20" s="303">
        <v>410015.26</v>
      </c>
      <c r="S20" s="5"/>
    </row>
    <row r="21" spans="1:19" ht="12.75">
      <c r="A21" t="s">
        <v>8</v>
      </c>
      <c r="B21" s="367">
        <v>0</v>
      </c>
      <c r="C21" s="367">
        <v>0</v>
      </c>
      <c r="D21" s="303">
        <v>338292</v>
      </c>
      <c r="E21" s="367">
        <v>0</v>
      </c>
      <c r="F21" s="367">
        <v>0</v>
      </c>
      <c r="G21" s="405">
        <v>0</v>
      </c>
      <c r="H21" s="367">
        <v>0</v>
      </c>
      <c r="I21" s="367">
        <v>0</v>
      </c>
      <c r="J21" s="367">
        <v>0</v>
      </c>
      <c r="K21" s="35">
        <v>63658.65</v>
      </c>
      <c r="L21" s="303">
        <v>27224</v>
      </c>
      <c r="M21" s="35">
        <v>342082.71</v>
      </c>
      <c r="N21" s="367">
        <v>0</v>
      </c>
      <c r="O21" s="5">
        <v>718.5</v>
      </c>
      <c r="P21" s="303">
        <v>812167.32</v>
      </c>
      <c r="S21" s="5"/>
    </row>
    <row r="22" spans="1:19" ht="12.75">
      <c r="A22" t="s">
        <v>9</v>
      </c>
      <c r="B22" s="367">
        <v>0</v>
      </c>
      <c r="C22" s="367">
        <v>0</v>
      </c>
      <c r="D22" s="303">
        <v>415650</v>
      </c>
      <c r="E22" s="367">
        <v>0</v>
      </c>
      <c r="F22" s="367">
        <v>0</v>
      </c>
      <c r="G22" s="405">
        <v>0</v>
      </c>
      <c r="H22" s="367">
        <v>0</v>
      </c>
      <c r="I22" s="367">
        <v>0</v>
      </c>
      <c r="J22" s="367">
        <v>0</v>
      </c>
      <c r="K22" s="35">
        <v>84000</v>
      </c>
      <c r="L22" s="303">
        <v>324470.21</v>
      </c>
      <c r="M22" s="35">
        <v>340505.28</v>
      </c>
      <c r="N22" s="367">
        <v>0</v>
      </c>
      <c r="O22" s="5">
        <v>1596.09</v>
      </c>
      <c r="P22" s="303">
        <v>2038003.87</v>
      </c>
      <c r="S22" s="5"/>
    </row>
    <row r="23" spans="1:19" ht="12.75">
      <c r="A23" t="s">
        <v>10</v>
      </c>
      <c r="B23" s="367">
        <v>0</v>
      </c>
      <c r="C23" s="367">
        <v>0</v>
      </c>
      <c r="D23" s="303">
        <v>200118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5">
        <v>737.54</v>
      </c>
      <c r="L23" s="303">
        <v>333096.87</v>
      </c>
      <c r="M23" s="367">
        <v>0</v>
      </c>
      <c r="N23" s="367">
        <v>0</v>
      </c>
      <c r="O23" s="5">
        <v>564.74</v>
      </c>
      <c r="P23" s="303">
        <v>55648</v>
      </c>
      <c r="S23" s="5"/>
    </row>
    <row r="24" spans="2:19" ht="12.75"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404"/>
      <c r="M24" s="367"/>
      <c r="N24" s="367"/>
      <c r="O24" s="5"/>
      <c r="P24" s="404"/>
      <c r="S24" s="5"/>
    </row>
    <row r="25" spans="1:19" ht="12.75">
      <c r="A25" t="s">
        <v>11</v>
      </c>
      <c r="B25" s="367">
        <v>0</v>
      </c>
      <c r="C25" s="367">
        <v>0</v>
      </c>
      <c r="D25" s="303">
        <v>1617583</v>
      </c>
      <c r="E25" s="367">
        <v>0</v>
      </c>
      <c r="F25" s="367">
        <v>0</v>
      </c>
      <c r="G25" s="405">
        <v>0</v>
      </c>
      <c r="H25" s="367">
        <v>0</v>
      </c>
      <c r="I25" s="367">
        <v>0</v>
      </c>
      <c r="J25" s="367">
        <v>0</v>
      </c>
      <c r="K25" s="35">
        <v>450</v>
      </c>
      <c r="L25" s="303">
        <v>485222.77</v>
      </c>
      <c r="M25" s="367">
        <v>0</v>
      </c>
      <c r="N25" s="367">
        <v>0</v>
      </c>
      <c r="O25" s="5">
        <v>2193</v>
      </c>
      <c r="P25" s="303">
        <v>674057.85</v>
      </c>
      <c r="S25" s="5"/>
    </row>
    <row r="26" spans="1:19" ht="12.75">
      <c r="A26" t="s">
        <v>12</v>
      </c>
      <c r="B26" s="367">
        <v>0</v>
      </c>
      <c r="C26" s="367">
        <v>0</v>
      </c>
      <c r="D26" s="404">
        <v>0</v>
      </c>
      <c r="E26" s="367">
        <v>0</v>
      </c>
      <c r="F26" s="367">
        <v>0</v>
      </c>
      <c r="G26" s="405">
        <v>0</v>
      </c>
      <c r="H26" s="367">
        <v>0</v>
      </c>
      <c r="I26" s="367">
        <v>0</v>
      </c>
      <c r="J26" s="367">
        <v>0</v>
      </c>
      <c r="K26" s="35">
        <v>6250</v>
      </c>
      <c r="L26" s="303">
        <v>24753.14</v>
      </c>
      <c r="M26" s="35">
        <v>333533.72</v>
      </c>
      <c r="N26" s="367">
        <v>0</v>
      </c>
      <c r="O26" s="5">
        <v>1148</v>
      </c>
      <c r="P26" s="303">
        <v>68254.08</v>
      </c>
      <c r="S26" s="5"/>
    </row>
    <row r="27" spans="1:19" ht="12.75">
      <c r="A27" t="s">
        <v>13</v>
      </c>
      <c r="B27" s="367">
        <v>0</v>
      </c>
      <c r="C27" s="367">
        <v>0</v>
      </c>
      <c r="D27" s="35">
        <v>845498</v>
      </c>
      <c r="E27" s="367">
        <v>0</v>
      </c>
      <c r="F27" s="367">
        <v>0</v>
      </c>
      <c r="G27" s="405">
        <v>0</v>
      </c>
      <c r="H27" s="367">
        <v>0</v>
      </c>
      <c r="I27" s="367">
        <v>0</v>
      </c>
      <c r="J27" s="367">
        <v>0</v>
      </c>
      <c r="K27" s="35">
        <v>64000</v>
      </c>
      <c r="L27" s="303">
        <v>111066.46</v>
      </c>
      <c r="M27" s="367">
        <v>0</v>
      </c>
      <c r="N27" s="367">
        <v>0</v>
      </c>
      <c r="O27" s="367">
        <v>0</v>
      </c>
      <c r="P27" s="303">
        <v>1977699.7</v>
      </c>
      <c r="S27" s="5"/>
    </row>
    <row r="28" spans="1:19" ht="12.75">
      <c r="A28" t="s">
        <v>14</v>
      </c>
      <c r="B28" s="367">
        <v>0</v>
      </c>
      <c r="C28" s="367">
        <v>0</v>
      </c>
      <c r="D28" s="303">
        <v>2925297.97</v>
      </c>
      <c r="E28" s="367">
        <v>0</v>
      </c>
      <c r="F28" s="367">
        <v>0</v>
      </c>
      <c r="G28" s="405">
        <v>0</v>
      </c>
      <c r="H28" s="367">
        <v>0</v>
      </c>
      <c r="I28" s="367">
        <v>0</v>
      </c>
      <c r="J28" s="367">
        <v>0</v>
      </c>
      <c r="K28" s="35">
        <v>97500</v>
      </c>
      <c r="L28" s="303">
        <v>30210.12</v>
      </c>
      <c r="M28" s="35">
        <v>320657.46</v>
      </c>
      <c r="N28" s="367">
        <v>0</v>
      </c>
      <c r="O28" s="367">
        <v>0</v>
      </c>
      <c r="P28" s="303">
        <v>15679.05</v>
      </c>
      <c r="S28" s="5"/>
    </row>
    <row r="29" spans="1:19" ht="12.75">
      <c r="A29" t="s">
        <v>15</v>
      </c>
      <c r="B29" s="367">
        <v>0</v>
      </c>
      <c r="C29" s="367">
        <v>0</v>
      </c>
      <c r="D29" s="303">
        <v>12068</v>
      </c>
      <c r="E29" s="367">
        <v>0</v>
      </c>
      <c r="F29" s="367">
        <v>0</v>
      </c>
      <c r="G29" s="405">
        <v>0</v>
      </c>
      <c r="H29" s="367">
        <v>0</v>
      </c>
      <c r="I29" s="367">
        <v>0</v>
      </c>
      <c r="J29" s="367">
        <v>0</v>
      </c>
      <c r="K29" s="367">
        <v>0</v>
      </c>
      <c r="L29" s="303">
        <v>310802.72</v>
      </c>
      <c r="M29" s="367">
        <v>0</v>
      </c>
      <c r="N29" s="367">
        <v>0</v>
      </c>
      <c r="O29" s="5">
        <v>800</v>
      </c>
      <c r="P29" s="303">
        <v>20032.77</v>
      </c>
      <c r="R29" s="111"/>
      <c r="S29" s="5"/>
    </row>
    <row r="30" spans="2:19" ht="12.75">
      <c r="B30" s="367"/>
      <c r="C30" s="367"/>
      <c r="D30" s="404"/>
      <c r="E30" s="367"/>
      <c r="F30" s="367"/>
      <c r="G30" s="367"/>
      <c r="H30" s="367"/>
      <c r="I30" s="367"/>
      <c r="J30" s="367"/>
      <c r="K30" s="367">
        <v>0</v>
      </c>
      <c r="L30" s="404"/>
      <c r="M30" s="367"/>
      <c r="N30" s="367"/>
      <c r="O30" s="5"/>
      <c r="P30" s="404"/>
      <c r="S30" s="5"/>
    </row>
    <row r="31" spans="1:19" ht="12.75">
      <c r="A31" t="s">
        <v>16</v>
      </c>
      <c r="B31" s="367">
        <v>0</v>
      </c>
      <c r="C31" s="367">
        <v>0</v>
      </c>
      <c r="D31" s="303">
        <v>22671734</v>
      </c>
      <c r="E31" s="367">
        <v>0</v>
      </c>
      <c r="F31" s="367">
        <v>0</v>
      </c>
      <c r="G31" s="405">
        <v>0</v>
      </c>
      <c r="H31" s="367">
        <v>0</v>
      </c>
      <c r="I31" s="367">
        <v>0</v>
      </c>
      <c r="J31" s="367">
        <v>0</v>
      </c>
      <c r="K31" s="35">
        <v>939000</v>
      </c>
      <c r="L31" s="303">
        <v>311075.02</v>
      </c>
      <c r="M31" s="35">
        <v>366318.9</v>
      </c>
      <c r="N31" s="367">
        <v>0</v>
      </c>
      <c r="O31" s="367">
        <v>0</v>
      </c>
      <c r="P31" s="303">
        <v>1530639.32</v>
      </c>
      <c r="S31" s="5"/>
    </row>
    <row r="32" spans="1:19" ht="12.75">
      <c r="A32" t="s">
        <v>17</v>
      </c>
      <c r="B32" s="367">
        <v>0</v>
      </c>
      <c r="C32" s="367">
        <v>0</v>
      </c>
      <c r="D32" s="303">
        <v>21905449</v>
      </c>
      <c r="E32" s="367">
        <v>0</v>
      </c>
      <c r="F32" s="367">
        <v>0</v>
      </c>
      <c r="G32" s="405">
        <v>0</v>
      </c>
      <c r="H32" s="35">
        <v>560000</v>
      </c>
      <c r="I32" s="367">
        <v>0</v>
      </c>
      <c r="J32" s="367">
        <v>0</v>
      </c>
      <c r="K32" s="35">
        <v>127681.15</v>
      </c>
      <c r="L32" s="303">
        <v>124304.03</v>
      </c>
      <c r="M32" s="35">
        <v>380124.46</v>
      </c>
      <c r="N32" s="35">
        <v>666650</v>
      </c>
      <c r="O32" s="5">
        <v>4020.23</v>
      </c>
      <c r="P32" s="303">
        <v>14611053.360000003</v>
      </c>
      <c r="S32" s="5"/>
    </row>
    <row r="33" spans="1:19" ht="12.75">
      <c r="A33" t="s">
        <v>18</v>
      </c>
      <c r="B33" s="367">
        <v>0</v>
      </c>
      <c r="C33" s="367">
        <v>0</v>
      </c>
      <c r="D33" s="303">
        <v>144148</v>
      </c>
      <c r="E33" s="367">
        <v>0</v>
      </c>
      <c r="F33" s="367">
        <v>0</v>
      </c>
      <c r="G33" s="405">
        <v>0</v>
      </c>
      <c r="H33" s="367">
        <v>0</v>
      </c>
      <c r="I33" s="367">
        <v>0</v>
      </c>
      <c r="J33" s="367">
        <v>0</v>
      </c>
      <c r="K33" s="367">
        <v>0</v>
      </c>
      <c r="L33" s="303">
        <v>410681.18</v>
      </c>
      <c r="M33" s="367">
        <v>0</v>
      </c>
      <c r="N33" s="367">
        <v>0</v>
      </c>
      <c r="O33" s="5">
        <v>775.58</v>
      </c>
      <c r="P33" s="303">
        <v>341886.44</v>
      </c>
      <c r="S33" s="5"/>
    </row>
    <row r="34" spans="1:19" ht="12.75">
      <c r="A34" t="s">
        <v>19</v>
      </c>
      <c r="B34" s="367">
        <v>0</v>
      </c>
      <c r="C34" s="367">
        <v>0</v>
      </c>
      <c r="D34" s="303">
        <v>308599</v>
      </c>
      <c r="E34" s="367">
        <v>0</v>
      </c>
      <c r="F34" s="367">
        <v>0</v>
      </c>
      <c r="G34" s="405">
        <v>0</v>
      </c>
      <c r="H34" s="367">
        <v>0</v>
      </c>
      <c r="I34" s="367">
        <v>0</v>
      </c>
      <c r="J34" s="367">
        <v>0</v>
      </c>
      <c r="K34" s="367">
        <v>0</v>
      </c>
      <c r="L34" s="303">
        <v>359207.82</v>
      </c>
      <c r="M34" s="35">
        <v>107975.7</v>
      </c>
      <c r="N34" s="367">
        <v>0</v>
      </c>
      <c r="O34" s="5">
        <v>2044.95</v>
      </c>
      <c r="P34" s="303">
        <v>367316.74</v>
      </c>
      <c r="S34" s="5"/>
    </row>
    <row r="35" spans="1:19" ht="12.75">
      <c r="A35" t="s">
        <v>20</v>
      </c>
      <c r="B35" s="367">
        <v>0</v>
      </c>
      <c r="C35" s="367">
        <v>0</v>
      </c>
      <c r="D35" s="303">
        <v>217236</v>
      </c>
      <c r="E35" s="367">
        <v>0</v>
      </c>
      <c r="F35" s="367">
        <v>0</v>
      </c>
      <c r="G35" s="405">
        <v>0</v>
      </c>
      <c r="H35" s="367">
        <v>0</v>
      </c>
      <c r="I35" s="367">
        <v>0</v>
      </c>
      <c r="J35" s="367">
        <v>0</v>
      </c>
      <c r="K35" s="35">
        <v>500</v>
      </c>
      <c r="L35" s="303">
        <v>10944</v>
      </c>
      <c r="M35" s="367">
        <v>0</v>
      </c>
      <c r="N35" s="367">
        <v>0</v>
      </c>
      <c r="O35" s="5">
        <v>308.47</v>
      </c>
      <c r="P35" s="303">
        <v>751036.7</v>
      </c>
      <c r="S35" s="5"/>
    </row>
    <row r="36" spans="2:19" ht="12.75">
      <c r="B36" s="367"/>
      <c r="C36" s="367"/>
      <c r="D36" s="35"/>
      <c r="E36" s="367"/>
      <c r="F36" s="367"/>
      <c r="G36" s="367"/>
      <c r="H36" s="367"/>
      <c r="I36" s="367"/>
      <c r="J36" s="367"/>
      <c r="K36" s="367"/>
      <c r="L36" s="404"/>
      <c r="M36" s="367"/>
      <c r="N36" s="367"/>
      <c r="O36" s="5"/>
      <c r="P36" s="404"/>
      <c r="S36" s="5"/>
    </row>
    <row r="37" spans="1:19" ht="12.75">
      <c r="A37" t="s">
        <v>21</v>
      </c>
      <c r="B37" s="367">
        <v>0</v>
      </c>
      <c r="C37" s="367">
        <v>0</v>
      </c>
      <c r="D37" s="303">
        <v>224053</v>
      </c>
      <c r="E37" s="367">
        <v>0</v>
      </c>
      <c r="F37" s="367">
        <v>0</v>
      </c>
      <c r="G37" s="367">
        <v>0</v>
      </c>
      <c r="H37" s="367">
        <v>0</v>
      </c>
      <c r="I37" s="367">
        <v>0</v>
      </c>
      <c r="J37" s="367">
        <v>0</v>
      </c>
      <c r="K37" s="35">
        <v>7494.5</v>
      </c>
      <c r="L37" s="303">
        <v>50078.33</v>
      </c>
      <c r="M37" s="35">
        <v>327796.05</v>
      </c>
      <c r="N37" s="367">
        <v>0</v>
      </c>
      <c r="O37" s="367">
        <v>0</v>
      </c>
      <c r="P37" s="303">
        <v>7473.53</v>
      </c>
      <c r="S37" s="5"/>
    </row>
    <row r="38" spans="1:19" ht="12.75">
      <c r="A38" t="s">
        <v>22</v>
      </c>
      <c r="B38" s="367">
        <v>0</v>
      </c>
      <c r="C38" s="367">
        <v>0</v>
      </c>
      <c r="D38" s="303">
        <v>574639</v>
      </c>
      <c r="E38" s="367">
        <v>0</v>
      </c>
      <c r="F38" s="367">
        <v>0</v>
      </c>
      <c r="G38" s="367">
        <v>0</v>
      </c>
      <c r="H38" s="367">
        <v>0</v>
      </c>
      <c r="I38" s="367">
        <v>0</v>
      </c>
      <c r="J38" s="367">
        <v>0</v>
      </c>
      <c r="K38" s="35">
        <v>126000</v>
      </c>
      <c r="L38" s="303">
        <v>361981.59</v>
      </c>
      <c r="M38" s="367">
        <v>0</v>
      </c>
      <c r="N38" s="367">
        <v>0</v>
      </c>
      <c r="O38" s="5">
        <v>1180</v>
      </c>
      <c r="P38" s="303">
        <v>303166.07</v>
      </c>
      <c r="S38" s="5"/>
    </row>
    <row r="39" spans="1:19" ht="12.75">
      <c r="A39" t="s">
        <v>23</v>
      </c>
      <c r="B39" s="367">
        <v>0</v>
      </c>
      <c r="C39" s="367">
        <v>0</v>
      </c>
      <c r="D39" s="303">
        <v>912104</v>
      </c>
      <c r="E39" s="367">
        <v>0</v>
      </c>
      <c r="F39" s="367">
        <v>0</v>
      </c>
      <c r="G39" s="367">
        <v>0</v>
      </c>
      <c r="H39" s="367">
        <v>0</v>
      </c>
      <c r="I39" s="367">
        <v>0</v>
      </c>
      <c r="J39" s="367">
        <v>0</v>
      </c>
      <c r="K39" s="35">
        <v>37750</v>
      </c>
      <c r="L39" s="303">
        <v>96955</v>
      </c>
      <c r="M39" s="35">
        <v>281407.27</v>
      </c>
      <c r="N39" s="367">
        <v>0</v>
      </c>
      <c r="O39" s="367">
        <v>0</v>
      </c>
      <c r="P39" s="303">
        <v>395737.49</v>
      </c>
      <c r="S39" s="5"/>
    </row>
    <row r="40" spans="1:19" ht="12.75">
      <c r="A40" s="14" t="s">
        <v>24</v>
      </c>
      <c r="B40" s="382">
        <v>0</v>
      </c>
      <c r="C40" s="382">
        <v>0</v>
      </c>
      <c r="D40" s="314">
        <v>282272</v>
      </c>
      <c r="E40" s="382">
        <v>0</v>
      </c>
      <c r="F40" s="382">
        <v>0</v>
      </c>
      <c r="G40" s="382">
        <v>0</v>
      </c>
      <c r="H40" s="382">
        <v>0</v>
      </c>
      <c r="I40" s="382">
        <v>0</v>
      </c>
      <c r="J40" s="382">
        <v>0</v>
      </c>
      <c r="K40" s="235">
        <v>19789.38</v>
      </c>
      <c r="L40" s="351">
        <v>18742.92</v>
      </c>
      <c r="M40" s="235">
        <v>329211.04</v>
      </c>
      <c r="N40" s="382">
        <v>0</v>
      </c>
      <c r="O40" s="382">
        <v>0</v>
      </c>
      <c r="P40" s="351">
        <v>65208.54</v>
      </c>
      <c r="S40" s="15"/>
    </row>
    <row r="41" spans="2:16" ht="12.75"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361"/>
      <c r="M41" s="178"/>
      <c r="N41" s="178"/>
      <c r="O41" s="178"/>
      <c r="P41" s="361"/>
    </row>
    <row r="42" spans="2:16" ht="12.75"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361"/>
      <c r="M42" s="178"/>
      <c r="N42" s="178"/>
      <c r="O42" s="178"/>
      <c r="P42" s="361"/>
    </row>
    <row r="43" spans="2:16" ht="12.75">
      <c r="B43" s="178"/>
      <c r="C43" s="178"/>
      <c r="D43" s="178"/>
      <c r="E43" s="178" t="s">
        <v>168</v>
      </c>
      <c r="F43" s="178"/>
      <c r="G43" s="178"/>
      <c r="H43" s="178"/>
      <c r="I43" s="178"/>
      <c r="J43" s="178"/>
      <c r="K43" s="178"/>
      <c r="L43" s="361"/>
      <c r="M43" s="178"/>
      <c r="N43" s="178"/>
      <c r="O43" s="178"/>
      <c r="P43" s="361"/>
    </row>
    <row r="44" spans="2:16" ht="12.75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361"/>
      <c r="M44" s="178"/>
      <c r="N44" s="178"/>
      <c r="O44" s="178"/>
      <c r="P44" s="361"/>
    </row>
    <row r="45" spans="2:16" ht="12.75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361"/>
      <c r="M45" s="178"/>
      <c r="N45" s="178"/>
      <c r="O45" s="178"/>
      <c r="P45" s="361"/>
    </row>
    <row r="46" spans="2:16" ht="12.75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361"/>
      <c r="M46" s="178"/>
      <c r="N46" s="178"/>
      <c r="O46" s="178"/>
      <c r="P46" s="361"/>
    </row>
  </sheetData>
  <sheetProtection password="CAF5" sheet="1" objects="1" scenarios="1"/>
  <mergeCells count="20">
    <mergeCell ref="A1:P1"/>
    <mergeCell ref="A3:P3"/>
    <mergeCell ref="B5:N5"/>
    <mergeCell ref="N6:N10"/>
    <mergeCell ref="B7:B10"/>
    <mergeCell ref="E7:E10"/>
    <mergeCell ref="F7:F10"/>
    <mergeCell ref="G7:G10"/>
    <mergeCell ref="H7:H10"/>
    <mergeCell ref="A7:A10"/>
    <mergeCell ref="P6:P10"/>
    <mergeCell ref="J6:J10"/>
    <mergeCell ref="K6:K10"/>
    <mergeCell ref="L6:L10"/>
    <mergeCell ref="M6:M10"/>
    <mergeCell ref="O6:O10"/>
    <mergeCell ref="I7:I10"/>
    <mergeCell ref="B6:I6"/>
    <mergeCell ref="D7:D10"/>
    <mergeCell ref="C7:C10"/>
  </mergeCells>
  <printOptions/>
  <pageMargins left="0.25" right="0.2" top="1" bottom="1" header="0.5" footer="0.5"/>
  <pageSetup fitToHeight="1" fitToWidth="1" horizontalDpi="600" verticalDpi="600" orientation="landscape" scale="72" r:id="rId1"/>
  <headerFooter alignWithMargins="0">
    <oddFooter>&amp;L&amp;"Arial,Italic"&amp;9MSDE-DBS 10 / 2007&amp;C- 11 -&amp;R&amp;"Arial,Italic"&amp;9Selected Financial Data-Part &amp;"Arial,Regular"&amp;10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C4">
      <selection activeCell="G16" sqref="G16"/>
    </sheetView>
  </sheetViews>
  <sheetFormatPr defaultColWidth="9.140625" defaultRowHeight="12.75"/>
  <cols>
    <col min="1" max="1" width="21.8515625" style="0" customWidth="1"/>
    <col min="2" max="2" width="20.421875" style="0" customWidth="1"/>
    <col min="3" max="3" width="14.8515625" style="0" customWidth="1"/>
    <col min="4" max="4" width="26.00390625" style="0" customWidth="1"/>
    <col min="5" max="5" width="12.421875" style="0" customWidth="1"/>
    <col min="6" max="6" width="16.8515625" style="0" customWidth="1"/>
    <col min="7" max="7" width="16.28125" style="0" customWidth="1"/>
  </cols>
  <sheetData>
    <row r="1" spans="1:6" ht="12.75">
      <c r="A1" s="457" t="s">
        <v>126</v>
      </c>
      <c r="B1" s="457"/>
      <c r="C1" s="457"/>
      <c r="D1" s="457"/>
      <c r="E1" s="457"/>
      <c r="F1" s="457"/>
    </row>
    <row r="3" spans="1:6" ht="12.75">
      <c r="A3" s="452" t="s">
        <v>343</v>
      </c>
      <c r="B3" s="452"/>
      <c r="C3" s="452"/>
      <c r="D3" s="452"/>
      <c r="E3" s="452"/>
      <c r="F3" s="452"/>
    </row>
    <row r="4" spans="1:6" ht="13.5" thickBot="1">
      <c r="A4" s="13"/>
      <c r="B4" s="13"/>
      <c r="C4" s="13"/>
      <c r="D4" s="13"/>
      <c r="E4" s="13"/>
      <c r="F4" s="13"/>
    </row>
    <row r="5" spans="1:11" ht="15" customHeight="1" thickTop="1">
      <c r="A5" s="3"/>
      <c r="B5" s="46" t="s">
        <v>120</v>
      </c>
      <c r="C5" s="500"/>
      <c r="D5" s="500"/>
      <c r="E5" s="500"/>
      <c r="G5" s="3"/>
      <c r="H5" s="3"/>
      <c r="I5" s="3"/>
      <c r="J5" s="3"/>
      <c r="K5" s="3"/>
    </row>
    <row r="6" spans="1:6" ht="13.5" thickBot="1">
      <c r="A6" s="7" t="s">
        <v>210</v>
      </c>
      <c r="B6" s="49" t="s">
        <v>344</v>
      </c>
      <c r="C6" s="49"/>
      <c r="D6" s="49" t="s">
        <v>345</v>
      </c>
      <c r="E6" s="49"/>
      <c r="F6" s="49" t="s">
        <v>346</v>
      </c>
    </row>
    <row r="7" spans="1:6" ht="12.75">
      <c r="A7" s="3" t="s">
        <v>0</v>
      </c>
      <c r="B7" s="266">
        <f>SUM(B9:B36)</f>
        <v>5956129.91</v>
      </c>
      <c r="C7" s="54"/>
      <c r="D7" s="53">
        <f>SUM(D9:D36)</f>
        <v>203433301.24999997</v>
      </c>
      <c r="E7" s="47"/>
      <c r="F7" s="183">
        <f>SUM(F9:F36)</f>
        <v>0</v>
      </c>
    </row>
    <row r="8" spans="1:6" ht="12.75">
      <c r="A8" s="3"/>
      <c r="B8" s="35"/>
      <c r="C8" s="5"/>
      <c r="D8" s="5"/>
      <c r="E8" s="5"/>
      <c r="F8" s="73"/>
    </row>
    <row r="9" spans="1:7" ht="12.75">
      <c r="A9" t="s">
        <v>1</v>
      </c>
      <c r="B9" s="35">
        <v>141535.46</v>
      </c>
      <c r="C9" s="406"/>
      <c r="D9" s="73">
        <v>12491319</v>
      </c>
      <c r="E9" s="115"/>
      <c r="F9" s="115">
        <v>0</v>
      </c>
      <c r="G9" s="1"/>
    </row>
    <row r="10" spans="1:6" ht="12.75">
      <c r="A10" t="s">
        <v>2</v>
      </c>
      <c r="B10" s="35">
        <v>331934</v>
      </c>
      <c r="C10" s="406"/>
      <c r="D10" s="73">
        <v>10562645</v>
      </c>
      <c r="E10" s="115"/>
      <c r="F10" s="115">
        <v>0</v>
      </c>
    </row>
    <row r="11" spans="1:6" ht="12.75">
      <c r="A11" t="s">
        <v>3</v>
      </c>
      <c r="B11" s="35">
        <v>945892.66</v>
      </c>
      <c r="C11" s="406"/>
      <c r="D11" s="73">
        <v>18506633</v>
      </c>
      <c r="E11" s="115"/>
      <c r="F11" s="115">
        <v>0</v>
      </c>
    </row>
    <row r="12" spans="1:6" ht="12.75">
      <c r="A12" t="s">
        <v>4</v>
      </c>
      <c r="B12" s="35">
        <v>821289</v>
      </c>
      <c r="C12" s="406"/>
      <c r="D12" s="73">
        <v>18064655.23</v>
      </c>
      <c r="E12" s="115"/>
      <c r="F12" s="115">
        <v>0</v>
      </c>
    </row>
    <row r="13" spans="1:6" ht="12.75">
      <c r="A13" t="s">
        <v>5</v>
      </c>
      <c r="B13" s="35">
        <v>34773.84</v>
      </c>
      <c r="C13" s="406"/>
      <c r="D13" s="73">
        <v>5268296.81</v>
      </c>
      <c r="E13" s="115"/>
      <c r="F13" s="115">
        <v>0</v>
      </c>
    </row>
    <row r="14" spans="2:6" ht="12.75">
      <c r="B14" s="35"/>
      <c r="C14" s="115"/>
      <c r="D14" s="73"/>
      <c r="E14" s="115"/>
      <c r="F14" s="115"/>
    </row>
    <row r="15" spans="1:6" ht="12.75">
      <c r="A15" t="s">
        <v>6</v>
      </c>
      <c r="B15" s="35">
        <v>47621.39</v>
      </c>
      <c r="C15" s="406"/>
      <c r="D15" s="73">
        <v>3488521.3</v>
      </c>
      <c r="E15" s="115"/>
      <c r="F15" s="115">
        <v>0</v>
      </c>
    </row>
    <row r="16" spans="1:6" ht="12.75">
      <c r="A16" t="s">
        <v>7</v>
      </c>
      <c r="B16" s="35">
        <v>46633</v>
      </c>
      <c r="C16" s="406"/>
      <c r="D16" s="73">
        <v>6994826</v>
      </c>
      <c r="E16" s="115"/>
      <c r="F16" s="115">
        <v>0</v>
      </c>
    </row>
    <row r="17" spans="1:6" ht="12.75">
      <c r="A17" t="s">
        <v>8</v>
      </c>
      <c r="B17" s="35">
        <v>176780.68</v>
      </c>
      <c r="C17" s="406"/>
      <c r="D17" s="73">
        <v>15214196.86</v>
      </c>
      <c r="E17" s="115"/>
      <c r="F17" s="115">
        <v>0</v>
      </c>
    </row>
    <row r="18" spans="1:6" ht="12.75">
      <c r="A18" t="s">
        <v>9</v>
      </c>
      <c r="B18" s="35">
        <v>135696.89</v>
      </c>
      <c r="C18" s="406"/>
      <c r="D18" s="73">
        <v>7114872</v>
      </c>
      <c r="E18" s="115"/>
      <c r="F18" s="115">
        <v>0</v>
      </c>
    </row>
    <row r="19" spans="1:6" ht="12.75">
      <c r="A19" t="s">
        <v>10</v>
      </c>
      <c r="B19" s="35">
        <v>63731</v>
      </c>
      <c r="C19" s="406"/>
      <c r="D19" s="73">
        <v>1297368</v>
      </c>
      <c r="E19" s="115"/>
      <c r="F19" s="115">
        <v>0</v>
      </c>
    </row>
    <row r="20" spans="2:6" ht="12.75">
      <c r="B20" s="35"/>
      <c r="C20" s="115"/>
      <c r="D20" s="73"/>
      <c r="E20" s="115"/>
      <c r="F20" s="115"/>
    </row>
    <row r="21" spans="1:6" ht="12.75">
      <c r="A21" t="s">
        <v>11</v>
      </c>
      <c r="B21" s="35">
        <v>130349</v>
      </c>
      <c r="C21" s="406"/>
      <c r="D21" s="73">
        <v>8929534</v>
      </c>
      <c r="E21" s="115"/>
      <c r="F21" s="115">
        <v>0</v>
      </c>
    </row>
    <row r="22" spans="1:6" ht="12.75">
      <c r="A22" t="s">
        <v>12</v>
      </c>
      <c r="B22" s="35">
        <v>88278</v>
      </c>
      <c r="C22" s="406"/>
      <c r="D22" s="73">
        <v>80868</v>
      </c>
      <c r="E22" s="115"/>
      <c r="F22" s="115">
        <v>0</v>
      </c>
    </row>
    <row r="23" spans="1:6" ht="12.75">
      <c r="A23" t="s">
        <v>13</v>
      </c>
      <c r="B23" s="35">
        <v>257235</v>
      </c>
      <c r="C23" s="406"/>
      <c r="D23" s="73">
        <v>6890203</v>
      </c>
      <c r="E23" s="115"/>
      <c r="F23" s="115">
        <v>0</v>
      </c>
    </row>
    <row r="24" spans="1:6" ht="12.75">
      <c r="A24" t="s">
        <v>14</v>
      </c>
      <c r="B24" s="35">
        <v>80836.37</v>
      </c>
      <c r="C24" s="406"/>
      <c r="D24" s="73">
        <v>15676375</v>
      </c>
      <c r="E24" s="115"/>
      <c r="F24" s="115">
        <v>0</v>
      </c>
    </row>
    <row r="25" spans="1:6" ht="12.75">
      <c r="A25" t="s">
        <v>15</v>
      </c>
      <c r="B25" s="35">
        <v>44092</v>
      </c>
      <c r="C25" s="406"/>
      <c r="D25" s="73">
        <v>1877163</v>
      </c>
      <c r="E25" s="115"/>
      <c r="F25" s="115">
        <v>0</v>
      </c>
    </row>
    <row r="26" spans="2:6" ht="12.75">
      <c r="B26" s="35"/>
      <c r="C26" s="115"/>
      <c r="D26" s="73"/>
      <c r="E26" s="115"/>
      <c r="F26" s="115"/>
    </row>
    <row r="27" spans="1:6" ht="12.75">
      <c r="A27" t="s">
        <v>16</v>
      </c>
      <c r="B27" s="35">
        <v>801840.4</v>
      </c>
      <c r="C27" s="406"/>
      <c r="D27" s="73">
        <v>28874793</v>
      </c>
      <c r="E27" s="115"/>
      <c r="F27" s="115">
        <v>0</v>
      </c>
    </row>
    <row r="28" spans="1:6" ht="12.75">
      <c r="A28" t="s">
        <v>17</v>
      </c>
      <c r="B28" s="35">
        <v>1281612.46</v>
      </c>
      <c r="C28" s="406"/>
      <c r="D28" s="73">
        <v>22307045</v>
      </c>
      <c r="E28" s="115"/>
      <c r="F28" s="115">
        <v>0</v>
      </c>
    </row>
    <row r="29" spans="1:6" ht="12.75">
      <c r="A29" t="s">
        <v>18</v>
      </c>
      <c r="B29" s="35">
        <v>18268.42</v>
      </c>
      <c r="C29" s="406"/>
      <c r="D29" s="73">
        <v>5609404</v>
      </c>
      <c r="E29" s="115"/>
      <c r="F29" s="115">
        <v>0</v>
      </c>
    </row>
    <row r="30" spans="1:6" ht="12.75">
      <c r="A30" t="s">
        <v>19</v>
      </c>
      <c r="B30" s="35">
        <v>33008.27</v>
      </c>
      <c r="C30" s="406"/>
      <c r="D30" s="73">
        <v>5697786.14</v>
      </c>
      <c r="E30" s="115"/>
      <c r="F30" s="115">
        <v>0</v>
      </c>
    </row>
    <row r="31" spans="1:6" ht="12.75">
      <c r="A31" t="s">
        <v>20</v>
      </c>
      <c r="B31" s="35">
        <v>57685.53</v>
      </c>
      <c r="C31" s="406"/>
      <c r="D31" s="73">
        <v>0</v>
      </c>
      <c r="E31" s="115"/>
      <c r="F31" s="115">
        <v>0</v>
      </c>
    </row>
    <row r="32" spans="2:6" ht="12.75">
      <c r="B32" s="35"/>
      <c r="C32" s="115"/>
      <c r="D32" s="73"/>
      <c r="E32" s="115"/>
      <c r="F32" s="115"/>
    </row>
    <row r="33" spans="1:6" ht="12.75">
      <c r="A33" t="s">
        <v>21</v>
      </c>
      <c r="B33" s="35">
        <v>80853.64</v>
      </c>
      <c r="C33" s="406"/>
      <c r="D33" s="73">
        <v>133000</v>
      </c>
      <c r="E33" s="115"/>
      <c r="F33" s="115">
        <v>0</v>
      </c>
    </row>
    <row r="34" spans="1:6" ht="12.75">
      <c r="A34" t="s">
        <v>22</v>
      </c>
      <c r="B34" s="35">
        <v>124898</v>
      </c>
      <c r="C34" s="406"/>
      <c r="D34" s="73">
        <v>1865091</v>
      </c>
      <c r="E34" s="115"/>
      <c r="F34" s="115">
        <v>0</v>
      </c>
    </row>
    <row r="35" spans="1:6" ht="12.75">
      <c r="A35" t="s">
        <v>23</v>
      </c>
      <c r="B35" s="35">
        <v>175652.75</v>
      </c>
      <c r="C35" s="406"/>
      <c r="D35" s="73">
        <v>4171504.42</v>
      </c>
      <c r="E35" s="115"/>
      <c r="F35" s="115">
        <v>0</v>
      </c>
    </row>
    <row r="36" spans="1:6" ht="12.75">
      <c r="A36" s="14" t="s">
        <v>24</v>
      </c>
      <c r="B36" s="235">
        <v>35632.15</v>
      </c>
      <c r="C36" s="407"/>
      <c r="D36" s="237">
        <v>2317201.49</v>
      </c>
      <c r="E36" s="221"/>
      <c r="F36" s="221">
        <v>0</v>
      </c>
    </row>
    <row r="37" spans="2:6" ht="12.75">
      <c r="B37" s="5"/>
      <c r="C37" s="5"/>
      <c r="D37" s="5"/>
      <c r="E37" s="5"/>
      <c r="F37" s="5"/>
    </row>
    <row r="38" spans="4:5" ht="12.75">
      <c r="D38" s="5"/>
      <c r="E38" s="5"/>
    </row>
    <row r="39" spans="4:5" ht="12.75">
      <c r="D39" s="5"/>
      <c r="E39" s="5"/>
    </row>
  </sheetData>
  <sheetProtection password="CAF5" sheet="1" objects="1" scenarios="1"/>
  <mergeCells count="3">
    <mergeCell ref="A1:F1"/>
    <mergeCell ref="A3:F3"/>
    <mergeCell ref="C5:E5"/>
  </mergeCells>
  <printOptions horizontalCentered="1"/>
  <pageMargins left="0.56" right="0.55" top="0.83" bottom="1" header="0.67" footer="0.5"/>
  <pageSetup fitToHeight="1" fitToWidth="1" horizontalDpi="600" verticalDpi="600" orientation="landscape" r:id="rId1"/>
  <headerFooter alignWithMargins="0">
    <oddHeader>&amp;R
</oddHeader>
    <oddFooter>&amp;L&amp;"Arial,Italic"&amp;9MSDE-DBS  10  / 2007
&amp;C- 12 -&amp;R&amp;"Arial,Italic"&amp;9Selected Financial Data-Part 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workbookViewId="0" topLeftCell="E1">
      <selection activeCell="O13" sqref="O13"/>
    </sheetView>
  </sheetViews>
  <sheetFormatPr defaultColWidth="9.140625" defaultRowHeight="12.75"/>
  <cols>
    <col min="1" max="1" width="17.00390625" style="3" customWidth="1"/>
    <col min="2" max="2" width="16.28125" style="3" bestFit="1" customWidth="1"/>
    <col min="3" max="3" width="14.140625" style="3" bestFit="1" customWidth="1"/>
    <col min="4" max="4" width="14.7109375" style="40" customWidth="1"/>
    <col min="5" max="5" width="15.00390625" style="3" bestFit="1" customWidth="1"/>
    <col min="6" max="6" width="12.8515625" style="3" customWidth="1"/>
    <col min="7" max="7" width="10.00390625" style="3" customWidth="1"/>
    <col min="8" max="8" width="2.140625" style="3" customWidth="1"/>
    <col min="9" max="9" width="15.7109375" style="3" customWidth="1"/>
    <col min="10" max="10" width="13.00390625" style="3" customWidth="1"/>
    <col min="11" max="11" width="10.00390625" style="3" customWidth="1"/>
    <col min="12" max="12" width="14.140625" style="3" customWidth="1"/>
    <col min="13" max="13" width="12.57421875" style="3" customWidth="1"/>
    <col min="14" max="14" width="9.140625" style="3" customWidth="1"/>
    <col min="15" max="15" width="12.421875" style="3" bestFit="1" customWidth="1"/>
    <col min="16" max="16" width="12.421875" style="3" customWidth="1"/>
    <col min="17" max="17" width="14.00390625" style="3" customWidth="1"/>
    <col min="18" max="16384" width="9.140625" style="3" customWidth="1"/>
  </cols>
  <sheetData>
    <row r="1" spans="1:13" ht="12.75">
      <c r="A1" s="500" t="s">
        <v>129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1:13" ht="12.75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</row>
    <row r="3" spans="1:13" ht="12.75">
      <c r="A3" s="500" t="s">
        <v>347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</row>
    <row r="4" spans="9:13" ht="13.5" thickBot="1">
      <c r="I4" s="13"/>
      <c r="J4" s="13"/>
      <c r="K4" s="13"/>
      <c r="L4" s="13"/>
      <c r="M4" s="13"/>
    </row>
    <row r="5" spans="1:13" ht="15" customHeight="1" thickTop="1">
      <c r="A5" s="6"/>
      <c r="B5" s="6"/>
      <c r="C5" s="17"/>
      <c r="D5" s="100"/>
      <c r="E5" s="505" t="s">
        <v>244</v>
      </c>
      <c r="F5" s="505"/>
      <c r="G5" s="505"/>
      <c r="H5" s="17"/>
      <c r="I5" s="500" t="s">
        <v>71</v>
      </c>
      <c r="J5" s="500"/>
      <c r="K5" s="500"/>
      <c r="L5" s="500"/>
      <c r="M5" s="500"/>
    </row>
    <row r="6" spans="3:13" ht="12.75">
      <c r="C6" s="4"/>
      <c r="D6" s="101"/>
      <c r="E6" s="506"/>
      <c r="F6" s="506"/>
      <c r="G6" s="506"/>
      <c r="H6" s="4"/>
      <c r="I6" s="501" t="s">
        <v>72</v>
      </c>
      <c r="J6" s="501"/>
      <c r="K6" s="501"/>
      <c r="L6" s="501"/>
      <c r="M6" s="501"/>
    </row>
    <row r="7" spans="1:13" ht="12.75" customHeight="1">
      <c r="A7" s="3" t="s">
        <v>99</v>
      </c>
      <c r="B7" s="4" t="s">
        <v>52</v>
      </c>
      <c r="C7" s="106" t="s">
        <v>145</v>
      </c>
      <c r="D7" s="502" t="s">
        <v>224</v>
      </c>
      <c r="E7" s="106" t="s">
        <v>146</v>
      </c>
      <c r="F7" s="106" t="s">
        <v>149</v>
      </c>
      <c r="G7" s="106" t="s">
        <v>87</v>
      </c>
      <c r="H7" s="4"/>
      <c r="I7" s="106" t="s">
        <v>77</v>
      </c>
      <c r="J7" s="106" t="s">
        <v>239</v>
      </c>
      <c r="K7" s="4"/>
      <c r="L7" s="4"/>
      <c r="M7" s="106" t="s">
        <v>160</v>
      </c>
    </row>
    <row r="8" spans="1:13" ht="12.75">
      <c r="A8" s="3" t="s">
        <v>41</v>
      </c>
      <c r="B8" s="4" t="s">
        <v>65</v>
      </c>
      <c r="C8" s="106" t="s">
        <v>41</v>
      </c>
      <c r="D8" s="503"/>
      <c r="E8" s="106" t="s">
        <v>86</v>
      </c>
      <c r="F8" s="106" t="s">
        <v>53</v>
      </c>
      <c r="G8" s="106" t="s">
        <v>88</v>
      </c>
      <c r="H8" s="4"/>
      <c r="I8" s="106" t="s">
        <v>73</v>
      </c>
      <c r="J8" s="106" t="s">
        <v>53</v>
      </c>
      <c r="K8" s="4"/>
      <c r="L8" s="106" t="s">
        <v>74</v>
      </c>
      <c r="M8" s="106" t="s">
        <v>37</v>
      </c>
    </row>
    <row r="9" spans="1:13" ht="13.5" thickBot="1">
      <c r="A9" s="7" t="s">
        <v>143</v>
      </c>
      <c r="B9" s="8" t="s">
        <v>54</v>
      </c>
      <c r="C9" s="260" t="s">
        <v>69</v>
      </c>
      <c r="D9" s="504"/>
      <c r="E9" s="260" t="s">
        <v>78</v>
      </c>
      <c r="F9" s="260" t="s">
        <v>76</v>
      </c>
      <c r="G9" s="260" t="s">
        <v>41</v>
      </c>
      <c r="H9" s="8"/>
      <c r="I9" s="260" t="s">
        <v>169</v>
      </c>
      <c r="J9" s="260" t="s">
        <v>240</v>
      </c>
      <c r="K9" s="260" t="s">
        <v>67</v>
      </c>
      <c r="L9" s="260" t="s">
        <v>75</v>
      </c>
      <c r="M9" s="260" t="s">
        <v>161</v>
      </c>
    </row>
    <row r="10" spans="1:13" s="68" customFormat="1" ht="12.75">
      <c r="A10" s="181" t="s">
        <v>0</v>
      </c>
      <c r="B10" s="68">
        <f aca="true" t="shared" si="0" ref="B10:M10">SUM(B12:B39)</f>
        <v>661962974.8299999</v>
      </c>
      <c r="C10" s="68">
        <f t="shared" si="0"/>
        <v>3633569.43</v>
      </c>
      <c r="D10" s="68">
        <f t="shared" si="0"/>
        <v>7086474.749999999</v>
      </c>
      <c r="E10" s="68">
        <f t="shared" si="0"/>
        <v>10271167.32</v>
      </c>
      <c r="F10" s="68">
        <f t="shared" si="0"/>
        <v>224037.44</v>
      </c>
      <c r="G10" s="68">
        <f t="shared" si="0"/>
        <v>777016.1599999999</v>
      </c>
      <c r="H10" s="68">
        <f t="shared" si="0"/>
        <v>0</v>
      </c>
      <c r="I10" s="68">
        <f t="shared" si="0"/>
        <v>149423722.99999994</v>
      </c>
      <c r="J10" s="68">
        <f t="shared" si="0"/>
        <v>193094.58000000002</v>
      </c>
      <c r="K10" s="68">
        <f t="shared" si="0"/>
        <v>384971.55</v>
      </c>
      <c r="L10" s="68">
        <f t="shared" si="0"/>
        <v>2862514.9599999995</v>
      </c>
      <c r="M10" s="68">
        <f t="shared" si="0"/>
        <v>873714.8300000001</v>
      </c>
    </row>
    <row r="11" spans="2:20" ht="12.75">
      <c r="B11" s="305"/>
      <c r="C11" s="104"/>
      <c r="D11" s="306"/>
      <c r="E11" s="104"/>
      <c r="F11" s="104"/>
      <c r="G11" s="104"/>
      <c r="H11" s="104"/>
      <c r="I11" s="104"/>
      <c r="J11" s="104"/>
      <c r="K11" s="104"/>
      <c r="L11" s="104"/>
      <c r="M11" s="104"/>
      <c r="N11" s="69"/>
      <c r="O11" s="69"/>
      <c r="P11" s="69"/>
      <c r="Q11" s="69"/>
      <c r="R11" s="69"/>
      <c r="S11" s="69"/>
      <c r="T11" s="69"/>
    </row>
    <row r="12" spans="1:40" ht="12.75">
      <c r="A12" s="3" t="s">
        <v>1</v>
      </c>
      <c r="B12" s="77">
        <f>SUM(C12:M12)+SUM(fed2!B12:K12)+SUM(fed3!B11:I11)+SUM(fed4!B11:I11)+SUM(fed5!B11:I11)</f>
        <v>11967820.61</v>
      </c>
      <c r="C12" s="229">
        <v>113832.29</v>
      </c>
      <c r="D12" s="229">
        <v>0</v>
      </c>
      <c r="E12" s="229">
        <v>174344</v>
      </c>
      <c r="F12" s="229">
        <v>6045.14</v>
      </c>
      <c r="G12" s="229">
        <v>0</v>
      </c>
      <c r="H12" s="229"/>
      <c r="I12" s="307">
        <v>2939476.81</v>
      </c>
      <c r="J12" s="307">
        <v>0</v>
      </c>
      <c r="K12" s="229">
        <v>0</v>
      </c>
      <c r="L12" s="229">
        <v>0</v>
      </c>
      <c r="M12" s="229">
        <v>67749.79</v>
      </c>
      <c r="N12" s="77"/>
      <c r="O12" s="69"/>
      <c r="P12" s="69"/>
      <c r="Q12" s="69"/>
      <c r="R12" s="77"/>
      <c r="S12" s="77"/>
      <c r="T12" s="77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2.75">
      <c r="A13" s="3" t="s">
        <v>2</v>
      </c>
      <c r="B13" s="77">
        <f>SUM(C13:M13)+SUM(fed2!B13:K13)+SUM(fed3!B12:I12)+SUM(fed4!B12:I12)+SUM(fed5!B12:I12)</f>
        <v>45112498.60000001</v>
      </c>
      <c r="C13" s="229">
        <v>7960</v>
      </c>
      <c r="D13" s="229">
        <v>266505.48</v>
      </c>
      <c r="E13" s="227">
        <v>685681.04</v>
      </c>
      <c r="F13" s="227">
        <v>15665.83</v>
      </c>
      <c r="G13" s="229">
        <v>0</v>
      </c>
      <c r="H13" s="229"/>
      <c r="I13" s="307">
        <v>9779064.38</v>
      </c>
      <c r="J13" s="307">
        <v>0</v>
      </c>
      <c r="K13" s="229">
        <v>0</v>
      </c>
      <c r="L13" s="229">
        <v>0</v>
      </c>
      <c r="M13" s="229">
        <v>0</v>
      </c>
      <c r="N13" s="77"/>
      <c r="O13" s="69"/>
      <c r="P13" s="69"/>
      <c r="Q13" s="69"/>
      <c r="R13" s="77"/>
      <c r="S13" s="77"/>
      <c r="T13" s="77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2.75">
      <c r="A14" s="3" t="s">
        <v>3</v>
      </c>
      <c r="B14" s="77">
        <f>SUM(C14:M14)+SUM(fed2!B14:K14)+SUM(fed3!B13:I13)+SUM(fed4!B13:I13)+SUM(fed5!B13:I13)</f>
        <v>130645202.42999999</v>
      </c>
      <c r="C14" s="229">
        <v>0</v>
      </c>
      <c r="D14" s="229">
        <v>346489.01</v>
      </c>
      <c r="E14" s="229">
        <v>2367627.45</v>
      </c>
      <c r="F14" s="229">
        <v>0</v>
      </c>
      <c r="G14" s="229">
        <v>29531.46</v>
      </c>
      <c r="H14" s="229"/>
      <c r="I14" s="307">
        <v>41094589</v>
      </c>
      <c r="J14" s="307">
        <v>28197.78</v>
      </c>
      <c r="K14" s="229">
        <v>0</v>
      </c>
      <c r="L14" s="229">
        <v>99975.69</v>
      </c>
      <c r="M14" s="229">
        <v>406910.95</v>
      </c>
      <c r="N14" s="77"/>
      <c r="O14" s="69"/>
      <c r="P14" s="69"/>
      <c r="Q14" s="69"/>
      <c r="R14" s="77"/>
      <c r="S14" s="77"/>
      <c r="T14" s="77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2.75">
      <c r="A15" s="3" t="s">
        <v>4</v>
      </c>
      <c r="B15" s="77">
        <f>SUM(C15:M15)+SUM(fed2!B15:K15)+SUM(fed3!B14:I14)+SUM(fed4!B14:I14)+SUM(fed5!B14:I14)</f>
        <v>85975302.89999999</v>
      </c>
      <c r="C15" s="227">
        <v>90358</v>
      </c>
      <c r="D15" s="229">
        <v>625709.91</v>
      </c>
      <c r="E15" s="229">
        <v>1230257.21</v>
      </c>
      <c r="F15" s="229">
        <v>34732.78</v>
      </c>
      <c r="G15" s="229">
        <v>0</v>
      </c>
      <c r="H15" s="229"/>
      <c r="I15" s="307">
        <v>20178008.81</v>
      </c>
      <c r="J15" s="307">
        <v>42140.97</v>
      </c>
      <c r="K15" s="229">
        <v>0</v>
      </c>
      <c r="L15" s="229">
        <v>202100.86</v>
      </c>
      <c r="M15" s="229">
        <v>142875.85</v>
      </c>
      <c r="N15" s="77"/>
      <c r="O15" s="69"/>
      <c r="P15" s="69"/>
      <c r="Q15" s="69"/>
      <c r="R15" s="77"/>
      <c r="S15" s="77"/>
      <c r="T15" s="77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3.5" customHeight="1">
      <c r="A16" s="3" t="s">
        <v>5</v>
      </c>
      <c r="B16" s="77">
        <f>SUM(C16:M16)+SUM(fed2!B16:K16)+SUM(fed3!B15:I15)+SUM(fed4!B15:I15)+SUM(fed5!B15:I15)</f>
        <v>8548579.790000001</v>
      </c>
      <c r="C16" s="229">
        <v>167338.67</v>
      </c>
      <c r="D16" s="229">
        <v>12917.22</v>
      </c>
      <c r="E16" s="229">
        <v>129572.48</v>
      </c>
      <c r="F16" s="229">
        <v>2526.43</v>
      </c>
      <c r="G16" s="229">
        <v>0</v>
      </c>
      <c r="H16" s="229"/>
      <c r="I16" s="307">
        <v>1225354.49</v>
      </c>
      <c r="J16" s="307">
        <v>2320.35</v>
      </c>
      <c r="K16" s="229">
        <v>0</v>
      </c>
      <c r="L16" s="229">
        <v>375785.99</v>
      </c>
      <c r="M16" s="229">
        <v>0</v>
      </c>
      <c r="N16" s="77"/>
      <c r="O16" s="69"/>
      <c r="P16" s="69"/>
      <c r="Q16" s="69"/>
      <c r="R16" s="77"/>
      <c r="S16" s="77"/>
      <c r="T16" s="77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2:40" ht="13.5" customHeight="1">
      <c r="B17" s="77"/>
      <c r="C17" s="229"/>
      <c r="D17" s="229"/>
      <c r="E17" s="229"/>
      <c r="F17" s="229"/>
      <c r="G17" s="229"/>
      <c r="H17" s="229"/>
      <c r="I17" s="307"/>
      <c r="J17" s="307"/>
      <c r="K17" s="229"/>
      <c r="L17" s="229"/>
      <c r="M17" s="229"/>
      <c r="N17" s="77"/>
      <c r="O17" s="69"/>
      <c r="P17" s="69"/>
      <c r="Q17" s="69"/>
      <c r="R17" s="77"/>
      <c r="S17" s="77"/>
      <c r="T17" s="77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2.75">
      <c r="A18" s="3" t="s">
        <v>6</v>
      </c>
      <c r="B18" s="77">
        <f>SUM(C18:M18)+SUM(fed2!B18:K18)+SUM(fed3!B17:I17)+SUM(fed4!B17:I17)+SUM(fed5!B17:I17)</f>
        <v>5458529.75</v>
      </c>
      <c r="C18" s="229">
        <v>1000</v>
      </c>
      <c r="D18" s="229">
        <v>24097.89</v>
      </c>
      <c r="E18" s="229">
        <v>78780</v>
      </c>
      <c r="F18" s="229">
        <v>0</v>
      </c>
      <c r="G18" s="229">
        <v>0</v>
      </c>
      <c r="H18" s="229"/>
      <c r="I18" s="307">
        <v>1136375.66</v>
      </c>
      <c r="J18" s="307">
        <v>2903</v>
      </c>
      <c r="K18" s="229">
        <v>0</v>
      </c>
      <c r="L18" s="229">
        <v>148535.6</v>
      </c>
      <c r="M18" s="229">
        <v>0</v>
      </c>
      <c r="N18" s="77"/>
      <c r="O18" s="69"/>
      <c r="P18" s="69"/>
      <c r="Q18" s="69"/>
      <c r="R18" s="77"/>
      <c r="S18" s="77"/>
      <c r="T18" s="77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2.75">
      <c r="A19" s="3" t="s">
        <v>7</v>
      </c>
      <c r="B19" s="77">
        <f>SUM(C19:M19)+SUM(fed2!B19:K19)+SUM(fed3!B18:I18)+SUM(fed4!B18:I18)+SUM(fed5!B18:I18)</f>
        <v>14006806.88</v>
      </c>
      <c r="C19" s="229">
        <v>301372.77</v>
      </c>
      <c r="D19" s="229">
        <v>20182.46</v>
      </c>
      <c r="E19" s="229">
        <v>199070</v>
      </c>
      <c r="F19" s="229">
        <v>22626.54</v>
      </c>
      <c r="G19" s="229">
        <v>112008.76</v>
      </c>
      <c r="H19" s="229"/>
      <c r="I19" s="227">
        <v>1154644.63</v>
      </c>
      <c r="J19" s="229">
        <v>6786.18</v>
      </c>
      <c r="K19" s="229">
        <v>0</v>
      </c>
      <c r="L19" s="229">
        <v>2144.06</v>
      </c>
      <c r="M19" s="229">
        <v>163362.18</v>
      </c>
      <c r="N19" s="69"/>
      <c r="O19" s="69"/>
      <c r="P19" s="69"/>
      <c r="Q19" s="69"/>
      <c r="R19" s="77"/>
      <c r="S19" s="77"/>
      <c r="T19" s="77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2.75">
      <c r="A20" s="3" t="s">
        <v>8</v>
      </c>
      <c r="B20" s="77">
        <f>SUM(C20:M20)+SUM(fed2!B20:K20)+SUM(fed3!B19:I19)+SUM(fed4!B19:I19)+SUM(fed5!B19:I19)</f>
        <v>9985010.040000001</v>
      </c>
      <c r="C20" s="229">
        <v>0</v>
      </c>
      <c r="D20" s="227">
        <v>25247.3</v>
      </c>
      <c r="E20" s="227">
        <v>179624</v>
      </c>
      <c r="F20" s="229">
        <v>5250</v>
      </c>
      <c r="G20" s="229">
        <v>0</v>
      </c>
      <c r="H20" s="229"/>
      <c r="I20" s="307">
        <v>2156078.53</v>
      </c>
      <c r="J20" s="227">
        <v>8522.78</v>
      </c>
      <c r="K20" s="229">
        <v>0</v>
      </c>
      <c r="L20" s="229">
        <v>0</v>
      </c>
      <c r="M20" s="229">
        <v>0</v>
      </c>
      <c r="N20" s="77"/>
      <c r="O20" s="69"/>
      <c r="P20" s="69"/>
      <c r="Q20" s="69"/>
      <c r="R20" s="77"/>
      <c r="S20" s="77"/>
      <c r="T20" s="77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2.75">
      <c r="A21" s="3" t="s">
        <v>9</v>
      </c>
      <c r="B21" s="77">
        <f>SUM(C21:M21)+SUM(fed2!B21:K21)+SUM(fed3!B20:I20)+SUM(fed4!B20:I20)+SUM(fed5!B20:I20)</f>
        <v>14736112.54</v>
      </c>
      <c r="C21" s="229">
        <v>336793</v>
      </c>
      <c r="D21" s="227">
        <v>43966.26</v>
      </c>
      <c r="E21" s="229">
        <v>222107.06</v>
      </c>
      <c r="F21" s="229">
        <v>31373.93</v>
      </c>
      <c r="G21" s="229">
        <v>0</v>
      </c>
      <c r="H21" s="229"/>
      <c r="I21" s="307">
        <v>2205394.62</v>
      </c>
      <c r="J21" s="229">
        <v>0</v>
      </c>
      <c r="K21" s="229">
        <v>0</v>
      </c>
      <c r="L21" s="229">
        <v>250542.02</v>
      </c>
      <c r="M21" s="229">
        <v>0</v>
      </c>
      <c r="N21" s="77"/>
      <c r="O21" s="69"/>
      <c r="P21" s="69"/>
      <c r="Q21" s="69"/>
      <c r="R21" s="77"/>
      <c r="S21" s="77"/>
      <c r="T21" s="77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2.75">
      <c r="A22" s="3" t="s">
        <v>10</v>
      </c>
      <c r="B22" s="77">
        <f>SUM(C22:M22)+SUM(fed2!B22:K22)+SUM(fed3!B21:I21)+SUM(fed4!B21:I21)+SUM(fed5!B21:I21)</f>
        <v>5840779.22</v>
      </c>
      <c r="C22" s="229">
        <v>318448.34</v>
      </c>
      <c r="D22" s="229">
        <v>12239.87</v>
      </c>
      <c r="E22" s="229">
        <v>90183</v>
      </c>
      <c r="F22" s="229">
        <v>5400</v>
      </c>
      <c r="G22" s="229">
        <v>0</v>
      </c>
      <c r="H22" s="229"/>
      <c r="I22" s="307">
        <v>1418541.44</v>
      </c>
      <c r="J22" s="307">
        <v>386.94</v>
      </c>
      <c r="K22" s="227">
        <v>80608.89</v>
      </c>
      <c r="L22" s="229">
        <v>135994.12</v>
      </c>
      <c r="M22" s="229">
        <v>0</v>
      </c>
      <c r="N22" s="77"/>
      <c r="O22" s="69"/>
      <c r="P22" s="69"/>
      <c r="Q22" s="69"/>
      <c r="R22" s="77"/>
      <c r="S22" s="77"/>
      <c r="T22" s="7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2:40" ht="12.75">
      <c r="B23" s="77"/>
      <c r="C23" s="229"/>
      <c r="D23" s="229"/>
      <c r="E23" s="229"/>
      <c r="F23" s="229"/>
      <c r="G23" s="229"/>
      <c r="H23" s="229"/>
      <c r="I23" s="307"/>
      <c r="J23" s="307"/>
      <c r="K23" s="229"/>
      <c r="L23" s="229"/>
      <c r="M23" s="229"/>
      <c r="N23" s="77"/>
      <c r="O23" s="69"/>
      <c r="P23" s="69"/>
      <c r="Q23" s="69"/>
      <c r="R23" s="77"/>
      <c r="S23" s="77"/>
      <c r="T23" s="77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2.75">
      <c r="A24" s="3" t="s">
        <v>11</v>
      </c>
      <c r="B24" s="77">
        <f>SUM(C24:M24)+SUM(fed2!B24:K24)+SUM(fed3!B23:I23)+SUM(fed4!B23:I23)+SUM(fed5!B23:I23)</f>
        <v>17001517.4</v>
      </c>
      <c r="C24" s="229">
        <v>287305</v>
      </c>
      <c r="D24" s="227">
        <v>122364.49</v>
      </c>
      <c r="E24" s="229">
        <v>262656.05</v>
      </c>
      <c r="F24" s="229">
        <v>14450.1</v>
      </c>
      <c r="G24" s="229">
        <v>72510.37</v>
      </c>
      <c r="H24" s="229"/>
      <c r="I24" s="307">
        <v>1817718.48</v>
      </c>
      <c r="J24" s="229">
        <v>0</v>
      </c>
      <c r="K24" s="229">
        <v>0</v>
      </c>
      <c r="L24" s="234">
        <v>197347.86</v>
      </c>
      <c r="M24" s="229">
        <v>0</v>
      </c>
      <c r="N24" s="77"/>
      <c r="O24" s="69"/>
      <c r="P24" s="69"/>
      <c r="Q24" s="69"/>
      <c r="R24" s="77"/>
      <c r="S24" s="77"/>
      <c r="T24" s="7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12.75">
      <c r="A25" s="3" t="s">
        <v>12</v>
      </c>
      <c r="B25" s="77">
        <f>SUM(C25:M25)+SUM(fed2!B25:K25)+SUM(fed3!B24:I24)+SUM(fed4!B24:I24)+SUM(fed5!B24:I24)</f>
        <v>5383472.94</v>
      </c>
      <c r="C25" s="229">
        <v>0</v>
      </c>
      <c r="D25" s="227">
        <v>0</v>
      </c>
      <c r="E25" s="229">
        <v>81009</v>
      </c>
      <c r="F25" s="229">
        <v>0</v>
      </c>
      <c r="G25" s="229">
        <v>0</v>
      </c>
      <c r="H25" s="229"/>
      <c r="I25" s="307">
        <v>1473233.19</v>
      </c>
      <c r="J25" s="307">
        <v>6216</v>
      </c>
      <c r="K25" s="229">
        <v>0</v>
      </c>
      <c r="L25" s="229">
        <v>0</v>
      </c>
      <c r="M25" s="229">
        <v>0</v>
      </c>
      <c r="N25" s="77"/>
      <c r="O25" s="69"/>
      <c r="P25" s="69"/>
      <c r="Q25" s="69"/>
      <c r="R25" s="77"/>
      <c r="S25" s="77"/>
      <c r="T25" s="77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.75">
      <c r="A26" s="3" t="s">
        <v>13</v>
      </c>
      <c r="B26" s="77">
        <f>SUM(C26:M26)+SUM(fed2!B26:K26)+SUM(fed3!B25:I25)+SUM(fed4!B25:I25)+SUM(fed5!B25:I25)</f>
        <v>23031331.35</v>
      </c>
      <c r="C26" s="229">
        <v>0</v>
      </c>
      <c r="D26" s="227">
        <v>66455.93</v>
      </c>
      <c r="E26" s="227">
        <v>344499</v>
      </c>
      <c r="F26" s="229">
        <v>0</v>
      </c>
      <c r="G26" s="227">
        <v>63897.6</v>
      </c>
      <c r="H26" s="229"/>
      <c r="I26" s="307">
        <v>3757580.49</v>
      </c>
      <c r="J26" s="307">
        <v>0</v>
      </c>
      <c r="K26" s="229">
        <v>0</v>
      </c>
      <c r="L26" s="229">
        <v>0</v>
      </c>
      <c r="M26" s="229">
        <v>0</v>
      </c>
      <c r="N26" s="77"/>
      <c r="O26" s="69"/>
      <c r="P26" s="69"/>
      <c r="Q26" s="69"/>
      <c r="R26" s="77"/>
      <c r="S26" s="77"/>
      <c r="T26" s="77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.75">
      <c r="A27" s="3" t="s">
        <v>14</v>
      </c>
      <c r="B27" s="77">
        <f>SUM(C27:M27)+SUM(fed2!B27:K27)+SUM(fed3!B26:I26)+SUM(fed4!B26:I26)+SUM(fed5!B26:I26)</f>
        <v>18329841.75</v>
      </c>
      <c r="C27" s="229">
        <v>0</v>
      </c>
      <c r="D27" s="227">
        <v>361366.37</v>
      </c>
      <c r="E27" s="234">
        <v>289510.82</v>
      </c>
      <c r="F27" s="229">
        <v>0</v>
      </c>
      <c r="G27" s="229">
        <v>117822.75</v>
      </c>
      <c r="H27" s="229"/>
      <c r="I27" s="307">
        <v>1853660.76</v>
      </c>
      <c r="J27" s="229">
        <v>0</v>
      </c>
      <c r="K27" s="229">
        <v>0</v>
      </c>
      <c r="L27" s="229">
        <v>157759.04</v>
      </c>
      <c r="M27" s="229">
        <v>0</v>
      </c>
      <c r="N27" s="77"/>
      <c r="O27" s="69"/>
      <c r="P27" s="69"/>
      <c r="Q27" s="69"/>
      <c r="R27" s="77"/>
      <c r="S27" s="77"/>
      <c r="T27" s="77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2.75">
      <c r="A28" s="3" t="s">
        <v>15</v>
      </c>
      <c r="B28" s="77">
        <f>SUM(C28:M28)+SUM(fed2!B28:K28)+SUM(fed3!B27:I27)+SUM(fed4!B27:I27)+SUM(fed5!B27:I27)</f>
        <v>3271925.51</v>
      </c>
      <c r="C28" s="229">
        <v>110684.35</v>
      </c>
      <c r="D28" s="227">
        <v>13389</v>
      </c>
      <c r="E28" s="234">
        <v>40560</v>
      </c>
      <c r="F28" s="229">
        <v>8660</v>
      </c>
      <c r="G28" s="229">
        <v>0</v>
      </c>
      <c r="H28" s="229"/>
      <c r="I28" s="307">
        <v>459883.51</v>
      </c>
      <c r="J28" s="307">
        <v>18530.28</v>
      </c>
      <c r="K28" s="229">
        <v>0</v>
      </c>
      <c r="L28" s="229">
        <v>0</v>
      </c>
      <c r="M28" s="229">
        <v>0</v>
      </c>
      <c r="N28" s="77"/>
      <c r="O28" s="69"/>
      <c r="P28" s="69"/>
      <c r="Q28" s="69"/>
      <c r="R28" s="77"/>
      <c r="S28" s="77"/>
      <c r="T28" s="77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2:40" ht="12.75">
      <c r="B29" s="77"/>
      <c r="C29" s="229"/>
      <c r="D29" s="229"/>
      <c r="E29" s="234"/>
      <c r="F29" s="229"/>
      <c r="G29" s="229"/>
      <c r="H29" s="229"/>
      <c r="I29" s="307"/>
      <c r="J29" s="307"/>
      <c r="K29" s="229"/>
      <c r="L29" s="77"/>
      <c r="M29" s="229"/>
      <c r="N29" s="77"/>
      <c r="O29" s="69"/>
      <c r="P29" s="69"/>
      <c r="Q29" s="69"/>
      <c r="R29" s="77"/>
      <c r="S29" s="77"/>
      <c r="T29" s="7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2.75">
      <c r="A30" s="3" t="s">
        <v>16</v>
      </c>
      <c r="B30" s="77">
        <f>SUM(C30:M30)+SUM(fed2!B30:K30)+SUM(fed3!B29:I29)+SUM(fed4!B29:I29)+SUM(fed5!B29:I29)</f>
        <v>91099471.22</v>
      </c>
      <c r="C30" s="229">
        <v>0</v>
      </c>
      <c r="D30" s="227">
        <v>2728590.22</v>
      </c>
      <c r="E30" s="229">
        <v>1275519</v>
      </c>
      <c r="F30" s="229">
        <v>24707.19</v>
      </c>
      <c r="G30" s="229">
        <v>236865</v>
      </c>
      <c r="H30" s="229"/>
      <c r="I30" s="227">
        <v>18077892.02</v>
      </c>
      <c r="J30" s="227">
        <v>15958.35</v>
      </c>
      <c r="K30" s="229">
        <v>0</v>
      </c>
      <c r="L30" s="229">
        <v>284100.46</v>
      </c>
      <c r="M30" s="229">
        <v>91928.02</v>
      </c>
      <c r="N30" s="77"/>
      <c r="O30" s="69"/>
      <c r="P30" s="69"/>
      <c r="Q30" s="69"/>
      <c r="R30" s="77"/>
      <c r="S30" s="77"/>
      <c r="T30" s="77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2.75">
      <c r="A31" s="3" t="s">
        <v>17</v>
      </c>
      <c r="B31" s="77">
        <f>SUM(C31:M31)+SUM(fed2!B31:K31)+SUM(fed3!B30:I30)+SUM(fed4!B30:I30)+SUM(fed5!B30:I30)</f>
        <v>107667723.48000002</v>
      </c>
      <c r="C31" s="229">
        <v>1076018.23</v>
      </c>
      <c r="D31" s="227">
        <v>2242359.36</v>
      </c>
      <c r="E31" s="229">
        <v>1647876.89</v>
      </c>
      <c r="F31" s="229">
        <v>0</v>
      </c>
      <c r="G31" s="229">
        <v>0</v>
      </c>
      <c r="H31" s="229"/>
      <c r="I31" s="307">
        <v>26100291.73</v>
      </c>
      <c r="J31" s="307">
        <v>22988.26</v>
      </c>
      <c r="K31" s="229">
        <v>0</v>
      </c>
      <c r="L31" s="229">
        <v>413496.73</v>
      </c>
      <c r="M31" s="227">
        <v>888.04</v>
      </c>
      <c r="N31" s="77"/>
      <c r="O31" s="69"/>
      <c r="P31" s="69"/>
      <c r="Q31" s="69"/>
      <c r="R31" s="77"/>
      <c r="S31" s="77"/>
      <c r="T31" s="77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2.75">
      <c r="A32" s="3" t="s">
        <v>18</v>
      </c>
      <c r="B32" s="77">
        <f>SUM(C32:M32)+SUM(fed2!B32:K32)+SUM(fed3!B31:I31)+SUM(fed4!B31:I31)+SUM(fed5!B31:I31)</f>
        <v>5529258.04</v>
      </c>
      <c r="C32" s="229">
        <v>108773.46</v>
      </c>
      <c r="D32" s="227">
        <v>11793.21</v>
      </c>
      <c r="E32" s="229">
        <v>61437</v>
      </c>
      <c r="F32" s="229">
        <v>16500</v>
      </c>
      <c r="G32" s="227">
        <v>0</v>
      </c>
      <c r="H32" s="229"/>
      <c r="I32" s="307">
        <v>686817.79</v>
      </c>
      <c r="J32" s="307">
        <v>8659.6</v>
      </c>
      <c r="K32" s="229">
        <v>217713.09</v>
      </c>
      <c r="L32" s="234">
        <v>349172.61</v>
      </c>
      <c r="M32" s="229">
        <v>0</v>
      </c>
      <c r="N32" s="77"/>
      <c r="O32" s="69"/>
      <c r="P32" s="69"/>
      <c r="Q32" s="69"/>
      <c r="R32" s="77"/>
      <c r="S32" s="77"/>
      <c r="T32" s="77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.75">
      <c r="A33" s="3" t="s">
        <v>19</v>
      </c>
      <c r="B33" s="77">
        <f>SUM(C33:M33)+SUM(fed2!B33:K33)+SUM(fed3!B32:I32)+SUM(fed4!B32:I32)+SUM(fed5!B32:I32)</f>
        <v>13322349.399999999</v>
      </c>
      <c r="C33" s="229">
        <v>200066</v>
      </c>
      <c r="D33" s="227">
        <v>21457.69</v>
      </c>
      <c r="E33" s="229">
        <v>177039</v>
      </c>
      <c r="F33" s="229">
        <v>2700</v>
      </c>
      <c r="G33" s="229">
        <v>0</v>
      </c>
      <c r="H33" s="229"/>
      <c r="I33" s="307">
        <v>2354649.38</v>
      </c>
      <c r="J33" s="229">
        <v>0</v>
      </c>
      <c r="K33" s="229">
        <v>0</v>
      </c>
      <c r="L33" s="229">
        <v>0</v>
      </c>
      <c r="M33" s="229">
        <v>0</v>
      </c>
      <c r="N33" s="77"/>
      <c r="O33" s="69"/>
      <c r="P33" s="69"/>
      <c r="Q33" s="69"/>
      <c r="R33" s="77"/>
      <c r="S33" s="77"/>
      <c r="T33" s="77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.75">
      <c r="A34" s="3" t="s">
        <v>20</v>
      </c>
      <c r="B34" s="77">
        <f>SUM(C34:M34)+SUM(fed2!B34:K34)+SUM(fed3!B33:I33)+SUM(fed4!B33:I33)+SUM(fed5!B33:I33)</f>
        <v>4308733.350000001</v>
      </c>
      <c r="C34" s="229">
        <v>127089.32</v>
      </c>
      <c r="D34" s="227">
        <v>11292.01</v>
      </c>
      <c r="E34" s="229">
        <v>70241.77</v>
      </c>
      <c r="F34" s="229">
        <v>0</v>
      </c>
      <c r="G34" s="229">
        <v>0</v>
      </c>
      <c r="H34" s="229"/>
      <c r="I34" s="307">
        <v>58404.56</v>
      </c>
      <c r="J34" s="307">
        <v>676.99</v>
      </c>
      <c r="K34" s="229">
        <v>86649.57</v>
      </c>
      <c r="L34" s="229">
        <v>0</v>
      </c>
      <c r="M34" s="229">
        <v>0</v>
      </c>
      <c r="N34" s="77"/>
      <c r="O34" s="69"/>
      <c r="P34" s="69"/>
      <c r="Q34" s="69"/>
      <c r="R34" s="77"/>
      <c r="S34" s="77"/>
      <c r="T34" s="77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2:40" ht="12.75">
      <c r="B35" s="77"/>
      <c r="C35" s="229"/>
      <c r="D35" s="229"/>
      <c r="E35" s="229"/>
      <c r="F35" s="229"/>
      <c r="G35" s="229"/>
      <c r="H35" s="229"/>
      <c r="I35" s="307"/>
      <c r="J35" s="307"/>
      <c r="K35" s="229"/>
      <c r="L35" s="229"/>
      <c r="M35" s="229"/>
      <c r="N35" s="77"/>
      <c r="O35" s="69"/>
      <c r="P35" s="69"/>
      <c r="Q35" s="69"/>
      <c r="R35" s="77"/>
      <c r="S35" s="77"/>
      <c r="T35" s="77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.75">
      <c r="A36" s="3" t="s">
        <v>21</v>
      </c>
      <c r="B36" s="77">
        <f>SUM(C36:M36)+SUM(fed2!B36:K36)+SUM(fed3!B35:I35)+SUM(fed4!B35:I35)+SUM(fed5!B35:I35)</f>
        <v>3286536.65</v>
      </c>
      <c r="C36" s="229">
        <v>0</v>
      </c>
      <c r="D36" s="227">
        <v>25218.31</v>
      </c>
      <c r="E36" s="227">
        <v>56145.55</v>
      </c>
      <c r="F36" s="229">
        <v>0</v>
      </c>
      <c r="G36" s="229">
        <v>0</v>
      </c>
      <c r="H36" s="229"/>
      <c r="I36" s="307">
        <v>750307.48</v>
      </c>
      <c r="J36" s="307">
        <v>0</v>
      </c>
      <c r="K36" s="229">
        <v>0</v>
      </c>
      <c r="L36" s="229">
        <v>0</v>
      </c>
      <c r="M36" s="229">
        <v>0</v>
      </c>
      <c r="N36" s="77"/>
      <c r="O36" s="69"/>
      <c r="P36" s="69"/>
      <c r="Q36" s="69"/>
      <c r="R36" s="77"/>
      <c r="S36" s="77"/>
      <c r="T36" s="77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.75">
      <c r="A37" s="3" t="s">
        <v>22</v>
      </c>
      <c r="B37" s="77">
        <f>SUM(C37:M37)+SUM(fed2!B37:K37)+SUM(fed3!B36:I36)+SUM(fed4!B36:I36)+SUM(fed5!B36:I36)</f>
        <v>15882076.13</v>
      </c>
      <c r="C37" s="229">
        <v>0</v>
      </c>
      <c r="D37" s="77">
        <v>32427.34</v>
      </c>
      <c r="E37" s="229">
        <v>264687</v>
      </c>
      <c r="F37" s="229">
        <v>0</v>
      </c>
      <c r="G37" s="229">
        <v>124534.24</v>
      </c>
      <c r="H37" s="229"/>
      <c r="I37" s="307">
        <v>3572570.6</v>
      </c>
      <c r="J37" s="307">
        <v>9324</v>
      </c>
      <c r="K37" s="229">
        <v>0</v>
      </c>
      <c r="L37" s="229">
        <v>0</v>
      </c>
      <c r="M37" s="229">
        <v>0</v>
      </c>
      <c r="N37" s="77"/>
      <c r="O37" s="69"/>
      <c r="P37" s="69"/>
      <c r="Q37" s="69"/>
      <c r="R37" s="77"/>
      <c r="S37" s="77"/>
      <c r="T37" s="77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.75">
      <c r="A38" s="3" t="s">
        <v>23</v>
      </c>
      <c r="B38" s="77">
        <f>SUM(C38:M38)+SUM(fed2!B38:K38)+SUM(fed3!B37:I37)+SUM(fed4!B37:I37)+SUM(fed5!B37:I37)</f>
        <v>14230607.059999999</v>
      </c>
      <c r="C38" s="229">
        <v>234856</v>
      </c>
      <c r="D38" s="227">
        <v>44511.83</v>
      </c>
      <c r="E38" s="229">
        <v>242044</v>
      </c>
      <c r="F38" s="229">
        <v>7999.5</v>
      </c>
      <c r="G38" s="229">
        <v>19845.98</v>
      </c>
      <c r="H38" s="229"/>
      <c r="I38" s="307">
        <v>3654421.38</v>
      </c>
      <c r="J38" s="307">
        <v>17385.6</v>
      </c>
      <c r="K38" s="229">
        <v>0</v>
      </c>
      <c r="L38" s="229">
        <v>245559.92</v>
      </c>
      <c r="M38" s="229">
        <v>0</v>
      </c>
      <c r="N38" s="77"/>
      <c r="O38" s="69"/>
      <c r="P38" s="69"/>
      <c r="Q38" s="69"/>
      <c r="R38" s="77"/>
      <c r="S38" s="77"/>
      <c r="T38" s="77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.75">
      <c r="A39" s="14" t="s">
        <v>24</v>
      </c>
      <c r="B39" s="237">
        <f>SUM(C39:M39)+SUM(fed2!B39:K39)+SUM(fed3!B38:I38)+SUM(fed4!B38:I38)+SUM(fed5!B38:I38)</f>
        <v>7341487.790000001</v>
      </c>
      <c r="C39" s="242">
        <v>151674</v>
      </c>
      <c r="D39" s="308">
        <v>27893.59</v>
      </c>
      <c r="E39" s="242">
        <v>100696</v>
      </c>
      <c r="F39" s="242">
        <v>25400</v>
      </c>
      <c r="G39" s="242">
        <v>0</v>
      </c>
      <c r="H39" s="242"/>
      <c r="I39" s="308">
        <v>1518763.26</v>
      </c>
      <c r="J39" s="308">
        <v>2097.5</v>
      </c>
      <c r="K39" s="242">
        <v>0</v>
      </c>
      <c r="L39" s="242">
        <v>0</v>
      </c>
      <c r="M39" s="242">
        <v>0</v>
      </c>
      <c r="N39" s="77"/>
      <c r="O39" s="69"/>
      <c r="P39" s="69"/>
      <c r="Q39" s="69"/>
      <c r="R39" s="77"/>
      <c r="S39" s="77"/>
      <c r="T39" s="77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2:40" ht="12.75">
      <c r="B40" s="15"/>
      <c r="C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2:40" ht="12.75">
      <c r="B41" s="108"/>
      <c r="C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3:40" ht="12.75">
      <c r="C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3:40" ht="12.75">
      <c r="C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3:40" ht="12.75">
      <c r="C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3:40" ht="12.75">
      <c r="C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3:40" ht="12.75">
      <c r="C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3:40" ht="12.75">
      <c r="C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3:40" ht="12.75">
      <c r="C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3:40" ht="12.75">
      <c r="C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3:40" ht="12.75">
      <c r="C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3:40" ht="12.75">
      <c r="C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3:40" ht="12.75">
      <c r="C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3:40" ht="12.75">
      <c r="C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3:40" ht="12.75">
      <c r="C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3:40" ht="12.75">
      <c r="C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3:40" ht="12.75">
      <c r="C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3:40" ht="12.75">
      <c r="C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3:40" ht="12.75">
      <c r="C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3:40" ht="12.75">
      <c r="C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3:40" ht="12.75">
      <c r="C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3:40" ht="12.75">
      <c r="C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3:40" ht="12.75">
      <c r="C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3:40" ht="12.75">
      <c r="C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3:40" ht="12.75">
      <c r="C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3:40" ht="12.75">
      <c r="C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3:40" ht="12.75">
      <c r="C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3:40" ht="12.75">
      <c r="C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3:40" ht="12.75">
      <c r="C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3:40" ht="12.75">
      <c r="C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3:40" ht="12.75">
      <c r="C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3:40" ht="12.75">
      <c r="C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3:40" ht="12.75">
      <c r="C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3:40" ht="12.75">
      <c r="C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3:40" ht="12.75">
      <c r="C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3:40" ht="12.75">
      <c r="C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3:40" ht="12.75">
      <c r="C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</sheetData>
  <sheetProtection password="CAF5" sheet="1" objects="1" scenarios="1"/>
  <mergeCells count="7">
    <mergeCell ref="A1:M1"/>
    <mergeCell ref="I5:M5"/>
    <mergeCell ref="I6:M6"/>
    <mergeCell ref="D7:D9"/>
    <mergeCell ref="E5:G6"/>
    <mergeCell ref="A2:M2"/>
    <mergeCell ref="A3:M3"/>
  </mergeCells>
  <printOptions horizontalCentered="1"/>
  <pageMargins left="0.27" right="0.34" top="0.83" bottom="1" header="0.67" footer="0.5"/>
  <pageSetup fitToHeight="1" fitToWidth="1" horizontalDpi="600" verticalDpi="600" orientation="landscape" scale="80" r:id="rId1"/>
  <headerFooter alignWithMargins="0">
    <oddFooter>&amp;L&amp;"Arial,Italic"&amp;9MSDE-DBS  10 / 2007&amp;C- 13 -&amp;R&amp;"Arial,Italic"&amp;9Selected Financial Data-Part 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4">
      <selection activeCell="F14" sqref="F14"/>
    </sheetView>
  </sheetViews>
  <sheetFormatPr defaultColWidth="9.140625" defaultRowHeight="12.75"/>
  <cols>
    <col min="1" max="2" width="14.421875" style="0" customWidth="1"/>
    <col min="3" max="4" width="11.57421875" style="0" customWidth="1"/>
    <col min="5" max="5" width="14.00390625" style="0" bestFit="1" customWidth="1"/>
    <col min="6" max="6" width="16.00390625" style="0" customWidth="1"/>
    <col min="7" max="7" width="12.421875" style="0" bestFit="1" customWidth="1"/>
    <col min="8" max="8" width="12.28125" style="0" customWidth="1"/>
    <col min="9" max="9" width="2.57421875" style="0" customWidth="1"/>
    <col min="10" max="10" width="16.00390625" style="0" bestFit="1" customWidth="1"/>
    <col min="11" max="11" width="15.00390625" style="0" bestFit="1" customWidth="1"/>
  </cols>
  <sheetData>
    <row r="1" spans="1:11" ht="12.75">
      <c r="A1" s="500" t="s">
        <v>130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2" ht="12.75">
      <c r="A2" s="3"/>
      <c r="B2" s="3"/>
    </row>
    <row r="3" spans="1:11" ht="12.75">
      <c r="A3" s="510" t="s">
        <v>347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</row>
    <row r="4" spans="1:11" ht="13.5" thickBot="1">
      <c r="A4" s="3"/>
      <c r="B4" s="3"/>
      <c r="C4" s="3"/>
      <c r="D4" s="3"/>
      <c r="E4" s="3"/>
      <c r="F4" s="3"/>
      <c r="G4" s="3"/>
      <c r="H4" s="3"/>
      <c r="I4" s="13"/>
      <c r="J4" s="3"/>
      <c r="K4" s="3"/>
    </row>
    <row r="5" spans="1:11" ht="15" customHeight="1" thickTop="1">
      <c r="A5" s="6"/>
      <c r="B5" s="123"/>
      <c r="C5" s="459"/>
      <c r="D5" s="459"/>
      <c r="E5" s="459"/>
      <c r="F5" s="459"/>
      <c r="G5" s="459"/>
      <c r="H5" s="459"/>
      <c r="I5" s="4"/>
      <c r="J5" s="459" t="s">
        <v>95</v>
      </c>
      <c r="K5" s="459"/>
    </row>
    <row r="6" spans="1:11" ht="12.75">
      <c r="A6" s="3"/>
      <c r="B6" s="511" t="s">
        <v>348</v>
      </c>
      <c r="C6" s="4"/>
      <c r="D6" s="265"/>
      <c r="E6" s="106" t="s">
        <v>151</v>
      </c>
      <c r="F6" s="264" t="s">
        <v>226</v>
      </c>
      <c r="G6" s="93"/>
      <c r="I6" s="4"/>
      <c r="J6" s="106" t="s">
        <v>90</v>
      </c>
      <c r="K6" s="69"/>
    </row>
    <row r="7" spans="1:11" ht="12.75" customHeight="1">
      <c r="A7" s="3" t="s">
        <v>99</v>
      </c>
      <c r="B7" s="485"/>
      <c r="C7" s="106" t="s">
        <v>150</v>
      </c>
      <c r="D7" s="507" t="s">
        <v>170</v>
      </c>
      <c r="E7" s="106" t="s">
        <v>80</v>
      </c>
      <c r="F7" s="490" t="s">
        <v>227</v>
      </c>
      <c r="G7" s="93" t="s">
        <v>152</v>
      </c>
      <c r="I7" s="4"/>
      <c r="J7" s="106" t="s">
        <v>42</v>
      </c>
      <c r="K7" s="74" t="s">
        <v>93</v>
      </c>
    </row>
    <row r="8" spans="1:11" ht="12.75">
      <c r="A8" s="3" t="s">
        <v>41</v>
      </c>
      <c r="B8" s="485"/>
      <c r="C8" s="106" t="s">
        <v>26</v>
      </c>
      <c r="D8" s="508"/>
      <c r="E8" s="106" t="s">
        <v>81</v>
      </c>
      <c r="F8" s="490"/>
      <c r="G8" s="93" t="s">
        <v>147</v>
      </c>
      <c r="H8" s="106" t="s">
        <v>228</v>
      </c>
      <c r="I8" s="4"/>
      <c r="J8" s="106" t="s">
        <v>98</v>
      </c>
      <c r="K8" s="74" t="s">
        <v>157</v>
      </c>
    </row>
    <row r="9" spans="1:11" ht="13.5" thickBot="1">
      <c r="A9" s="7" t="s">
        <v>143</v>
      </c>
      <c r="B9" s="447"/>
      <c r="C9" s="260" t="s">
        <v>83</v>
      </c>
      <c r="D9" s="509"/>
      <c r="E9" s="260" t="s">
        <v>82</v>
      </c>
      <c r="F9" s="491"/>
      <c r="G9" s="122" t="s">
        <v>41</v>
      </c>
      <c r="H9" s="122" t="s">
        <v>229</v>
      </c>
      <c r="I9" s="8"/>
      <c r="J9" s="260" t="s">
        <v>89</v>
      </c>
      <c r="K9" s="86" t="s">
        <v>94</v>
      </c>
    </row>
    <row r="10" spans="1:11" s="183" customFormat="1" ht="12.75">
      <c r="A10" s="181" t="s">
        <v>0</v>
      </c>
      <c r="B10" s="262">
        <f>SUM(B12:B39)</f>
        <v>2760032.87</v>
      </c>
      <c r="C10" s="68">
        <f aca="true" t="shared" si="0" ref="C10:K10">SUM(C12:C39)</f>
        <v>6019910.710000001</v>
      </c>
      <c r="D10" s="68">
        <f>SUM(D12:D39)</f>
        <v>4148665.7400000007</v>
      </c>
      <c r="E10" s="68">
        <f t="shared" si="0"/>
        <v>3036108.29</v>
      </c>
      <c r="F10" s="68">
        <f t="shared" si="0"/>
        <v>1219646.77</v>
      </c>
      <c r="G10" s="68">
        <f t="shared" si="0"/>
        <v>119947.08000000002</v>
      </c>
      <c r="H10" s="68">
        <f t="shared" si="0"/>
        <v>9383606.61</v>
      </c>
      <c r="I10" s="68"/>
      <c r="J10" s="68">
        <f t="shared" si="0"/>
        <v>119549003.09000002</v>
      </c>
      <c r="K10" s="68">
        <f t="shared" si="0"/>
        <v>10702177.139999999</v>
      </c>
    </row>
    <row r="11" spans="1:13" ht="12.75">
      <c r="A11" s="69"/>
      <c r="B11" s="69"/>
      <c r="C11" s="104"/>
      <c r="D11" s="69"/>
      <c r="E11" s="104"/>
      <c r="F11" s="70"/>
      <c r="G11" s="104"/>
      <c r="H11" s="104"/>
      <c r="I11" s="104"/>
      <c r="J11" s="104"/>
      <c r="K11" s="104"/>
      <c r="L11" s="39"/>
      <c r="M11" s="39"/>
    </row>
    <row r="12" spans="1:13" ht="12.75">
      <c r="A12" s="69" t="s">
        <v>1</v>
      </c>
      <c r="B12" s="229">
        <v>213778.48</v>
      </c>
      <c r="C12" s="77">
        <v>107723.3</v>
      </c>
      <c r="D12" s="236">
        <v>80625.65</v>
      </c>
      <c r="E12" s="77">
        <v>53960.83</v>
      </c>
      <c r="F12" s="77">
        <v>0</v>
      </c>
      <c r="G12" s="77">
        <v>0</v>
      </c>
      <c r="H12" s="77">
        <v>276756.09</v>
      </c>
      <c r="I12" s="77"/>
      <c r="J12" s="77">
        <v>2065858.18</v>
      </c>
      <c r="K12" s="77">
        <v>211081.79</v>
      </c>
      <c r="L12" s="39"/>
      <c r="M12" s="39"/>
    </row>
    <row r="13" spans="1:13" ht="12.75">
      <c r="A13" s="69" t="s">
        <v>2</v>
      </c>
      <c r="B13" s="229">
        <v>194133.52</v>
      </c>
      <c r="C13" s="77">
        <v>172123.52</v>
      </c>
      <c r="D13" s="236">
        <v>304815.86</v>
      </c>
      <c r="E13" s="234">
        <v>104402.88</v>
      </c>
      <c r="F13" s="77">
        <v>0</v>
      </c>
      <c r="G13" s="77">
        <v>0</v>
      </c>
      <c r="H13" s="77">
        <v>0</v>
      </c>
      <c r="I13" s="77"/>
      <c r="J13" s="77">
        <v>5860480</v>
      </c>
      <c r="K13" s="77">
        <v>797947</v>
      </c>
      <c r="L13" s="39"/>
      <c r="M13" s="39"/>
    </row>
    <row r="14" spans="1:13" ht="12.75">
      <c r="A14" s="69" t="s">
        <v>3</v>
      </c>
      <c r="B14" s="227">
        <v>643389.87</v>
      </c>
      <c r="C14" s="77">
        <v>952365.38</v>
      </c>
      <c r="D14" s="236">
        <v>1090268.83</v>
      </c>
      <c r="E14" s="77">
        <v>426322.3</v>
      </c>
      <c r="F14" s="77">
        <v>414924.78</v>
      </c>
      <c r="G14" s="73">
        <v>51068.79</v>
      </c>
      <c r="H14" s="73">
        <v>4769490.74</v>
      </c>
      <c r="I14" s="77"/>
      <c r="J14" s="77">
        <v>25336143.66</v>
      </c>
      <c r="K14" s="234">
        <v>0</v>
      </c>
      <c r="L14" s="39"/>
      <c r="M14" s="39"/>
    </row>
    <row r="15" spans="1:13" ht="12.75">
      <c r="A15" s="69" t="s">
        <v>4</v>
      </c>
      <c r="B15" s="229">
        <v>17993.94</v>
      </c>
      <c r="C15" s="77">
        <v>1100617.52</v>
      </c>
      <c r="D15" s="236">
        <v>305913.06</v>
      </c>
      <c r="E15" s="77">
        <v>462650.74</v>
      </c>
      <c r="F15" s="77">
        <v>0</v>
      </c>
      <c r="G15" s="77">
        <v>0</v>
      </c>
      <c r="H15" s="77">
        <v>1227440.52</v>
      </c>
      <c r="I15" s="77"/>
      <c r="J15" s="77">
        <v>14243289</v>
      </c>
      <c r="K15" s="77">
        <v>1704486</v>
      </c>
      <c r="L15" s="39"/>
      <c r="M15" s="39"/>
    </row>
    <row r="16" spans="1:13" ht="12.75">
      <c r="A16" s="69" t="s">
        <v>5</v>
      </c>
      <c r="B16" s="236">
        <v>0</v>
      </c>
      <c r="C16" s="234">
        <v>23230</v>
      </c>
      <c r="D16" s="236">
        <v>0</v>
      </c>
      <c r="E16" s="77">
        <v>36034</v>
      </c>
      <c r="F16" s="77">
        <v>99265.77</v>
      </c>
      <c r="G16" s="77">
        <v>0</v>
      </c>
      <c r="H16" s="77">
        <v>0</v>
      </c>
      <c r="I16" s="77"/>
      <c r="J16" s="77">
        <v>877490.32</v>
      </c>
      <c r="K16" s="77">
        <v>211280.21</v>
      </c>
      <c r="L16" s="39"/>
      <c r="M16" s="39"/>
    </row>
    <row r="17" spans="1:13" ht="12.75">
      <c r="A17" s="69"/>
      <c r="B17" s="229"/>
      <c r="C17" s="73"/>
      <c r="D17" s="236"/>
      <c r="E17" s="77"/>
      <c r="F17" s="77"/>
      <c r="G17" s="77"/>
      <c r="H17" s="77"/>
      <c r="I17" s="77"/>
      <c r="J17" s="77"/>
      <c r="K17" s="77"/>
      <c r="L17" s="39"/>
      <c r="M17" s="39"/>
    </row>
    <row r="18" spans="1:13" ht="12.75">
      <c r="A18" s="69" t="s">
        <v>6</v>
      </c>
      <c r="B18" s="229">
        <v>247908.39</v>
      </c>
      <c r="C18" s="234">
        <v>70400.64</v>
      </c>
      <c r="D18" s="236">
        <v>2000</v>
      </c>
      <c r="E18" s="77">
        <v>30709.63</v>
      </c>
      <c r="F18" s="77">
        <v>0</v>
      </c>
      <c r="G18" s="77">
        <v>0</v>
      </c>
      <c r="H18" s="77">
        <v>0</v>
      </c>
      <c r="I18" s="77"/>
      <c r="J18" s="77">
        <v>1024248.28</v>
      </c>
      <c r="K18" s="77">
        <v>0</v>
      </c>
      <c r="L18" s="39"/>
      <c r="M18" s="39"/>
    </row>
    <row r="19" spans="1:13" ht="12.75">
      <c r="A19" s="69" t="s">
        <v>7</v>
      </c>
      <c r="B19" s="229">
        <v>25596.51</v>
      </c>
      <c r="C19" s="77">
        <v>120293.78</v>
      </c>
      <c r="D19" s="236">
        <v>0</v>
      </c>
      <c r="E19" s="77">
        <v>61108</v>
      </c>
      <c r="F19" s="77">
        <v>61973.39</v>
      </c>
      <c r="G19" s="77">
        <v>0</v>
      </c>
      <c r="H19" s="77">
        <v>0</v>
      </c>
      <c r="I19" s="77"/>
      <c r="J19" s="77">
        <v>1355312</v>
      </c>
      <c r="K19" s="77">
        <v>403151.05</v>
      </c>
      <c r="L19" s="39"/>
      <c r="M19" s="39"/>
    </row>
    <row r="20" spans="1:13" ht="12.75">
      <c r="A20" s="69" t="s">
        <v>8</v>
      </c>
      <c r="B20" s="229">
        <v>11740.13</v>
      </c>
      <c r="C20" s="77">
        <v>28660.39</v>
      </c>
      <c r="D20" s="236">
        <v>0</v>
      </c>
      <c r="E20" s="77">
        <v>52244.45</v>
      </c>
      <c r="F20" s="77">
        <v>0</v>
      </c>
      <c r="G20" s="77">
        <v>0</v>
      </c>
      <c r="H20" s="77">
        <v>0</v>
      </c>
      <c r="I20" s="77"/>
      <c r="J20" s="77">
        <v>2146244.93</v>
      </c>
      <c r="K20" s="77">
        <v>0</v>
      </c>
      <c r="L20" s="39"/>
      <c r="M20" s="39"/>
    </row>
    <row r="21" spans="1:13" ht="12.75">
      <c r="A21" s="69" t="s">
        <v>9</v>
      </c>
      <c r="B21" s="236">
        <v>0</v>
      </c>
      <c r="C21" s="77">
        <v>15941.92</v>
      </c>
      <c r="D21" s="236">
        <v>0</v>
      </c>
      <c r="E21" s="77">
        <v>61693.13</v>
      </c>
      <c r="F21" s="77">
        <v>0</v>
      </c>
      <c r="G21" s="73">
        <v>47000</v>
      </c>
      <c r="H21" s="73">
        <v>0</v>
      </c>
      <c r="I21" s="77"/>
      <c r="J21" s="77">
        <v>2605171.84</v>
      </c>
      <c r="K21" s="77">
        <v>372563.09</v>
      </c>
      <c r="L21" s="39"/>
      <c r="M21" s="39"/>
    </row>
    <row r="22" spans="1:13" ht="12.75">
      <c r="A22" s="69" t="s">
        <v>10</v>
      </c>
      <c r="B22" s="229">
        <v>76178.91</v>
      </c>
      <c r="C22" s="77">
        <v>81513.46</v>
      </c>
      <c r="D22" s="236">
        <v>174945.63</v>
      </c>
      <c r="E22" s="77">
        <v>22928.1</v>
      </c>
      <c r="F22" s="77">
        <v>0</v>
      </c>
      <c r="G22" s="77">
        <v>0</v>
      </c>
      <c r="H22" s="77">
        <v>160795.02</v>
      </c>
      <c r="I22" s="77"/>
      <c r="J22" s="77">
        <v>1040746</v>
      </c>
      <c r="K22" s="77">
        <v>83300</v>
      </c>
      <c r="L22" s="39"/>
      <c r="M22" s="39"/>
    </row>
    <row r="23" spans="1:13" ht="12.75">
      <c r="A23" s="69"/>
      <c r="B23" s="229"/>
      <c r="C23" s="77"/>
      <c r="D23" s="236"/>
      <c r="E23" s="77"/>
      <c r="F23" s="77"/>
      <c r="G23" s="77"/>
      <c r="H23" s="77"/>
      <c r="I23" s="77"/>
      <c r="J23" s="77"/>
      <c r="K23" s="77"/>
      <c r="L23" s="39"/>
      <c r="M23" s="39"/>
    </row>
    <row r="24" spans="1:13" ht="12.75">
      <c r="A24" s="69" t="s">
        <v>11</v>
      </c>
      <c r="B24" s="227">
        <v>187340.4</v>
      </c>
      <c r="C24" s="77">
        <v>46762.61</v>
      </c>
      <c r="D24" s="236">
        <v>335373.99</v>
      </c>
      <c r="E24" s="77">
        <v>84925.25</v>
      </c>
      <c r="F24" s="77">
        <v>0</v>
      </c>
      <c r="G24" s="77">
        <v>0</v>
      </c>
      <c r="H24" s="77">
        <v>0</v>
      </c>
      <c r="I24" s="77"/>
      <c r="J24" s="77">
        <v>2487352</v>
      </c>
      <c r="K24" s="77">
        <v>408919</v>
      </c>
      <c r="L24" s="39"/>
      <c r="M24" s="39"/>
    </row>
    <row r="25" spans="1:13" ht="12.75">
      <c r="A25" s="69" t="s">
        <v>12</v>
      </c>
      <c r="B25" s="236">
        <v>0</v>
      </c>
      <c r="C25" s="77">
        <v>149977.27</v>
      </c>
      <c r="D25" s="236">
        <v>0</v>
      </c>
      <c r="E25" s="77">
        <v>26796.08</v>
      </c>
      <c r="F25" s="77">
        <v>0</v>
      </c>
      <c r="G25" s="77">
        <v>0</v>
      </c>
      <c r="H25" s="77">
        <v>134436.91</v>
      </c>
      <c r="I25" s="77"/>
      <c r="J25" s="77">
        <v>879536</v>
      </c>
      <c r="K25" s="77">
        <v>109291</v>
      </c>
      <c r="L25" s="39"/>
      <c r="M25" s="39"/>
    </row>
    <row r="26" spans="1:13" ht="12.75">
      <c r="A26" s="69" t="s">
        <v>13</v>
      </c>
      <c r="B26" s="229">
        <v>296031.79</v>
      </c>
      <c r="C26" s="77">
        <v>96880.65</v>
      </c>
      <c r="D26" s="236">
        <v>59841.46</v>
      </c>
      <c r="E26" s="77">
        <v>121323.03</v>
      </c>
      <c r="F26" s="77">
        <v>0</v>
      </c>
      <c r="G26" s="77">
        <v>0</v>
      </c>
      <c r="H26" s="77">
        <v>0</v>
      </c>
      <c r="I26" s="77"/>
      <c r="J26" s="77">
        <v>4624804</v>
      </c>
      <c r="K26" s="234">
        <v>0</v>
      </c>
      <c r="L26" s="39"/>
      <c r="M26" s="39"/>
    </row>
    <row r="27" spans="1:13" ht="12.75">
      <c r="A27" s="69" t="s">
        <v>14</v>
      </c>
      <c r="B27" s="236">
        <v>0</v>
      </c>
      <c r="C27" s="77">
        <v>19933.08</v>
      </c>
      <c r="D27" s="236">
        <v>0</v>
      </c>
      <c r="E27" s="77">
        <v>156989.1</v>
      </c>
      <c r="F27" s="234">
        <v>178578.39</v>
      </c>
      <c r="G27" s="77">
        <v>0</v>
      </c>
      <c r="H27" s="77">
        <v>0</v>
      </c>
      <c r="I27" s="77"/>
      <c r="J27" s="77">
        <v>2445180.66</v>
      </c>
      <c r="K27" s="77">
        <v>838584.79</v>
      </c>
      <c r="L27" s="39"/>
      <c r="M27" s="39"/>
    </row>
    <row r="28" spans="1:13" ht="12.75">
      <c r="A28" s="69" t="s">
        <v>15</v>
      </c>
      <c r="B28" s="236">
        <v>0</v>
      </c>
      <c r="C28" s="77">
        <v>84609.2</v>
      </c>
      <c r="D28" s="236">
        <v>42061.33</v>
      </c>
      <c r="E28" s="77">
        <v>9541</v>
      </c>
      <c r="F28" s="77">
        <v>0</v>
      </c>
      <c r="G28" s="77">
        <v>0</v>
      </c>
      <c r="H28" s="77">
        <v>0</v>
      </c>
      <c r="I28" s="77"/>
      <c r="J28" s="77">
        <v>511774</v>
      </c>
      <c r="K28" s="77">
        <v>63731</v>
      </c>
      <c r="L28" s="39"/>
      <c r="M28" s="39"/>
    </row>
    <row r="29" spans="1:13" ht="12.75">
      <c r="A29" s="69"/>
      <c r="B29" s="229"/>
      <c r="C29" s="77"/>
      <c r="D29" s="236"/>
      <c r="E29" s="77"/>
      <c r="F29" s="77"/>
      <c r="G29" s="77"/>
      <c r="H29" s="77"/>
      <c r="I29" s="77"/>
      <c r="J29" s="77"/>
      <c r="K29" s="77"/>
      <c r="L29" s="39"/>
      <c r="M29" s="39"/>
    </row>
    <row r="30" spans="1:13" ht="12.75">
      <c r="A30" s="69" t="s">
        <v>16</v>
      </c>
      <c r="B30" s="236">
        <v>0</v>
      </c>
      <c r="C30" s="77">
        <v>1474467.52</v>
      </c>
      <c r="D30" s="236">
        <v>419427.8</v>
      </c>
      <c r="E30" s="77">
        <v>314689.72</v>
      </c>
      <c r="F30" s="77">
        <v>0</v>
      </c>
      <c r="G30" s="73">
        <v>21878.29</v>
      </c>
      <c r="H30" s="73">
        <v>847923.13</v>
      </c>
      <c r="I30" s="77"/>
      <c r="J30" s="77">
        <v>14474673.39</v>
      </c>
      <c r="K30" s="77">
        <v>1991971.91</v>
      </c>
      <c r="L30" s="39"/>
      <c r="M30" s="39"/>
    </row>
    <row r="31" spans="1:13" ht="12.75">
      <c r="A31" s="69" t="s">
        <v>17</v>
      </c>
      <c r="B31" s="236">
        <v>0</v>
      </c>
      <c r="C31" s="77">
        <v>656020.55</v>
      </c>
      <c r="D31" s="236">
        <v>1210538.83</v>
      </c>
      <c r="E31" s="77">
        <v>729883.38</v>
      </c>
      <c r="F31" s="77">
        <v>0</v>
      </c>
      <c r="G31" s="236">
        <v>0</v>
      </c>
      <c r="H31" s="73">
        <v>1697768.78</v>
      </c>
      <c r="I31" s="77"/>
      <c r="J31" s="77">
        <v>26694627.18</v>
      </c>
      <c r="K31" s="77">
        <v>2340894.15</v>
      </c>
      <c r="L31" s="39"/>
      <c r="M31" s="39"/>
    </row>
    <row r="32" spans="1:13" ht="12.75">
      <c r="A32" s="69" t="s">
        <v>18</v>
      </c>
      <c r="B32" s="236">
        <v>0</v>
      </c>
      <c r="C32" s="77">
        <v>17964.85</v>
      </c>
      <c r="D32" s="236">
        <v>0</v>
      </c>
      <c r="E32" s="77">
        <v>15203.33</v>
      </c>
      <c r="F32" s="77">
        <v>0</v>
      </c>
      <c r="G32" s="77">
        <v>0</v>
      </c>
      <c r="H32" s="77">
        <v>0</v>
      </c>
      <c r="I32" s="77"/>
      <c r="J32" s="77">
        <v>507425.8</v>
      </c>
      <c r="K32" s="234">
        <v>0</v>
      </c>
      <c r="L32" s="39"/>
      <c r="M32" s="39"/>
    </row>
    <row r="33" spans="1:13" ht="12.75">
      <c r="A33" s="69" t="s">
        <v>19</v>
      </c>
      <c r="B33" s="236">
        <v>0</v>
      </c>
      <c r="C33" s="77">
        <v>48397.62</v>
      </c>
      <c r="D33" s="236">
        <v>58472.39</v>
      </c>
      <c r="E33" s="77">
        <v>58933.26</v>
      </c>
      <c r="F33" s="77">
        <v>0</v>
      </c>
      <c r="G33" s="77">
        <v>0</v>
      </c>
      <c r="H33" s="77">
        <v>0</v>
      </c>
      <c r="I33" s="77"/>
      <c r="J33" s="77">
        <v>1692359.18</v>
      </c>
      <c r="K33" s="77">
        <v>316662.2</v>
      </c>
      <c r="L33" s="39"/>
      <c r="M33" s="39"/>
    </row>
    <row r="34" spans="1:13" ht="12.75">
      <c r="A34" s="69" t="s">
        <v>20</v>
      </c>
      <c r="B34" s="229">
        <v>416445.22</v>
      </c>
      <c r="C34" s="77">
        <v>59436.53</v>
      </c>
      <c r="D34" s="236">
        <v>0</v>
      </c>
      <c r="E34" s="77">
        <v>14848.14</v>
      </c>
      <c r="F34" s="77">
        <v>0</v>
      </c>
      <c r="G34" s="77">
        <v>0</v>
      </c>
      <c r="H34" s="77">
        <v>109076.44</v>
      </c>
      <c r="I34" s="77"/>
      <c r="J34" s="77">
        <v>834099.54</v>
      </c>
      <c r="K34" s="234">
        <v>100370</v>
      </c>
      <c r="L34" s="39"/>
      <c r="M34" s="39"/>
    </row>
    <row r="35" spans="1:13" ht="12.75">
      <c r="A35" s="69"/>
      <c r="B35" s="229"/>
      <c r="C35" s="77"/>
      <c r="D35" s="236"/>
      <c r="E35" s="77"/>
      <c r="F35" s="77"/>
      <c r="G35" s="77"/>
      <c r="H35" s="77"/>
      <c r="I35" s="77"/>
      <c r="J35" s="77"/>
      <c r="K35" s="77"/>
      <c r="L35" s="39"/>
      <c r="M35" s="39"/>
    </row>
    <row r="36" spans="1:13" ht="12.75">
      <c r="A36" s="69" t="s">
        <v>21</v>
      </c>
      <c r="B36" s="236">
        <v>0</v>
      </c>
      <c r="C36" s="77">
        <v>249329.41</v>
      </c>
      <c r="D36" s="236">
        <v>60635.91</v>
      </c>
      <c r="E36" s="234">
        <v>8535.53</v>
      </c>
      <c r="F36" s="77">
        <v>0</v>
      </c>
      <c r="G36" s="77">
        <v>0</v>
      </c>
      <c r="H36" s="77">
        <v>0</v>
      </c>
      <c r="I36" s="77"/>
      <c r="J36" s="77">
        <v>552270.09</v>
      </c>
      <c r="K36" s="77">
        <v>82256.08</v>
      </c>
      <c r="L36" s="39"/>
      <c r="M36" s="39"/>
    </row>
    <row r="37" spans="1:13" ht="12.75">
      <c r="A37" s="69" t="s">
        <v>22</v>
      </c>
      <c r="B37" s="229">
        <v>429495.71</v>
      </c>
      <c r="C37" s="77">
        <v>183549.36</v>
      </c>
      <c r="D37" s="236">
        <v>3745</v>
      </c>
      <c r="E37" s="77">
        <f>100160.02+883.42</f>
        <v>101043.44</v>
      </c>
      <c r="F37" s="77">
        <v>161308.88</v>
      </c>
      <c r="G37" s="77">
        <v>0</v>
      </c>
      <c r="H37" s="77">
        <v>0</v>
      </c>
      <c r="I37" s="77"/>
      <c r="J37" s="77">
        <v>3210481</v>
      </c>
      <c r="K37" s="77">
        <v>415847</v>
      </c>
      <c r="L37" s="39"/>
      <c r="M37" s="39"/>
    </row>
    <row r="38" spans="1:13" ht="12.75">
      <c r="A38" s="69" t="s">
        <v>23</v>
      </c>
      <c r="B38" s="236">
        <v>0</v>
      </c>
      <c r="C38" s="77">
        <v>153016.12</v>
      </c>
      <c r="D38" s="236">
        <v>0</v>
      </c>
      <c r="E38" s="77">
        <v>60486.74</v>
      </c>
      <c r="F38" s="77">
        <v>216797.13</v>
      </c>
      <c r="G38" s="77">
        <v>0</v>
      </c>
      <c r="H38" s="77">
        <v>0</v>
      </c>
      <c r="I38" s="77"/>
      <c r="J38" s="77">
        <v>2913029.59</v>
      </c>
      <c r="K38" s="77">
        <v>249840.87</v>
      </c>
      <c r="L38" s="39"/>
      <c r="M38" s="39"/>
    </row>
    <row r="39" spans="1:13" ht="12.75">
      <c r="A39" s="91" t="s">
        <v>24</v>
      </c>
      <c r="B39" s="239">
        <v>0</v>
      </c>
      <c r="C39" s="237">
        <v>106696.03</v>
      </c>
      <c r="D39" s="239">
        <v>0</v>
      </c>
      <c r="E39" s="237">
        <v>20856.23</v>
      </c>
      <c r="F39" s="237">
        <v>86798.43</v>
      </c>
      <c r="G39" s="237">
        <v>0</v>
      </c>
      <c r="H39" s="237">
        <v>159918.98</v>
      </c>
      <c r="I39" s="237"/>
      <c r="J39" s="237">
        <v>1166406.45</v>
      </c>
      <c r="K39" s="237">
        <v>0</v>
      </c>
      <c r="L39" s="39"/>
      <c r="M39" s="39"/>
    </row>
    <row r="40" spans="1:11" ht="12.75">
      <c r="A40" s="3"/>
      <c r="B40" s="3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3"/>
      <c r="B41" s="3"/>
      <c r="C41" s="15"/>
      <c r="D41" s="15"/>
      <c r="E41" s="15"/>
      <c r="F41" s="15"/>
      <c r="G41" s="15"/>
      <c r="H41" s="15"/>
      <c r="I41" s="15"/>
      <c r="J41" s="107"/>
      <c r="K41" s="15"/>
    </row>
    <row r="42" spans="1:11" ht="12.75">
      <c r="A42" s="3"/>
      <c r="B42" s="3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3"/>
      <c r="B43" s="3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3"/>
      <c r="B44" s="3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3"/>
      <c r="B45" s="3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3"/>
      <c r="B46" s="3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3"/>
      <c r="B47" s="3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3"/>
      <c r="B48" s="3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3"/>
      <c r="B49" s="3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3"/>
      <c r="B50" s="3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.75">
      <c r="A51" s="3"/>
      <c r="B51" s="3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3"/>
      <c r="B52" s="3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3"/>
      <c r="B53" s="3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3"/>
      <c r="B54" s="3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3"/>
      <c r="B55" s="3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3"/>
      <c r="B56" s="3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3"/>
      <c r="B57" s="3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>
      <c r="A58" s="3"/>
      <c r="B58" s="3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3"/>
      <c r="B59" s="3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2.75">
      <c r="A60" s="3"/>
      <c r="B60" s="3"/>
      <c r="C60" s="15"/>
      <c r="D60" s="15"/>
      <c r="E60" s="15"/>
      <c r="F60" s="15"/>
      <c r="G60" s="15"/>
      <c r="H60" s="15"/>
      <c r="I60" s="15"/>
      <c r="J60" s="15"/>
      <c r="K60" s="15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</sheetData>
  <sheetProtection password="CAF5" sheet="1" objects="1" scenarios="1"/>
  <mergeCells count="7">
    <mergeCell ref="D7:D9"/>
    <mergeCell ref="J5:K5"/>
    <mergeCell ref="A1:K1"/>
    <mergeCell ref="A3:K3"/>
    <mergeCell ref="C5:H5"/>
    <mergeCell ref="F7:F9"/>
    <mergeCell ref="B6:B9"/>
  </mergeCells>
  <printOptions horizontalCentered="1"/>
  <pageMargins left="0.87" right="0.32" top="0.83" bottom="1" header="0.67" footer="0.5"/>
  <pageSetup fitToHeight="1" fitToWidth="1" horizontalDpi="600" verticalDpi="600" orientation="landscape" scale="91" r:id="rId1"/>
  <headerFooter alignWithMargins="0">
    <oddFooter>&amp;L&amp;"Arial,Italic"&amp;9MSDE-DBS  10 / 2007&amp;C- 14 -&amp;R&amp;"Arial,Italic"&amp;9Selected Financial Data-Part 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workbookViewId="0" topLeftCell="C4">
      <selection activeCell="L24" sqref="L24"/>
    </sheetView>
  </sheetViews>
  <sheetFormatPr defaultColWidth="9.140625" defaultRowHeight="12.75"/>
  <cols>
    <col min="1" max="1" width="14.421875" style="0" customWidth="1"/>
    <col min="2" max="2" width="13.8515625" style="0" bestFit="1" customWidth="1"/>
    <col min="3" max="3" width="14.8515625" style="0" bestFit="1" customWidth="1"/>
    <col min="4" max="4" width="13.8515625" style="0" bestFit="1" customWidth="1"/>
    <col min="5" max="5" width="12.57421875" style="0" customWidth="1"/>
    <col min="6" max="6" width="11.421875" style="0" customWidth="1"/>
    <col min="7" max="7" width="13.8515625" style="0" bestFit="1" customWidth="1"/>
    <col min="8" max="8" width="14.7109375" style="0" customWidth="1"/>
    <col min="9" max="9" width="15.421875" style="0" customWidth="1"/>
  </cols>
  <sheetData>
    <row r="1" spans="1:10" ht="12.75">
      <c r="A1" s="500" t="s">
        <v>130</v>
      </c>
      <c r="B1" s="500"/>
      <c r="C1" s="500"/>
      <c r="D1" s="500"/>
      <c r="E1" s="500"/>
      <c r="F1" s="500"/>
      <c r="G1" s="500"/>
      <c r="H1" s="500"/>
      <c r="I1" s="500"/>
      <c r="J1" s="4"/>
    </row>
    <row r="2" ht="12.75">
      <c r="A2" s="3"/>
    </row>
    <row r="3" spans="1:10" ht="12.75">
      <c r="A3" s="500" t="s">
        <v>263</v>
      </c>
      <c r="B3" s="500"/>
      <c r="C3" s="500"/>
      <c r="D3" s="500"/>
      <c r="E3" s="500"/>
      <c r="F3" s="500"/>
      <c r="G3" s="500"/>
      <c r="H3" s="500"/>
      <c r="I3" s="500"/>
      <c r="J3" s="4"/>
    </row>
    <row r="4" spans="1:8" ht="13.5" thickBot="1">
      <c r="A4" s="3"/>
      <c r="B4" s="3"/>
      <c r="C4" s="13"/>
      <c r="D4" s="13"/>
      <c r="E4" s="13"/>
      <c r="F4" s="13"/>
      <c r="G4" s="13"/>
      <c r="H4" s="13"/>
    </row>
    <row r="5" spans="1:21" ht="15" customHeight="1" thickTop="1">
      <c r="A5" s="153"/>
      <c r="B5" s="153"/>
      <c r="C5" s="455" t="s">
        <v>85</v>
      </c>
      <c r="D5" s="455"/>
      <c r="E5" s="455"/>
      <c r="F5" s="157"/>
      <c r="G5" s="512" t="s">
        <v>225</v>
      </c>
      <c r="H5" s="265"/>
      <c r="I5" s="153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.75">
      <c r="A6" s="37" t="s">
        <v>99</v>
      </c>
      <c r="B6" s="37"/>
      <c r="C6" s="25"/>
      <c r="D6" s="157"/>
      <c r="E6" s="516" t="s">
        <v>350</v>
      </c>
      <c r="F6" s="265" t="s">
        <v>53</v>
      </c>
      <c r="G6" s="513"/>
      <c r="H6" s="516" t="s">
        <v>351</v>
      </c>
      <c r="I6" s="513" t="s">
        <v>231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37" t="s">
        <v>41</v>
      </c>
      <c r="B7" s="309" t="s">
        <v>96</v>
      </c>
      <c r="C7" s="515" t="s">
        <v>349</v>
      </c>
      <c r="D7" s="515"/>
      <c r="E7" s="485"/>
      <c r="F7" s="265" t="s">
        <v>76</v>
      </c>
      <c r="G7" s="513"/>
      <c r="H7" s="485"/>
      <c r="I7" s="513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3.5" thickBot="1">
      <c r="A8" s="58" t="s">
        <v>143</v>
      </c>
      <c r="B8" s="310" t="s">
        <v>97</v>
      </c>
      <c r="C8" s="310" t="s">
        <v>158</v>
      </c>
      <c r="D8" s="310" t="s">
        <v>68</v>
      </c>
      <c r="E8" s="447"/>
      <c r="F8" s="310" t="s">
        <v>148</v>
      </c>
      <c r="G8" s="514"/>
      <c r="H8" s="447"/>
      <c r="I8" s="51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183" customFormat="1" ht="12.75">
      <c r="A9" s="300" t="s">
        <v>0</v>
      </c>
      <c r="B9" s="311">
        <f>SUM(B11:B38)</f>
        <v>8243749.26</v>
      </c>
      <c r="C9" s="311">
        <f aca="true" t="shared" si="0" ref="C9:I9">SUM(C11:C38)</f>
        <v>169468396.53999996</v>
      </c>
      <c r="D9" s="311">
        <f t="shared" si="0"/>
        <v>5973975.280000001</v>
      </c>
      <c r="E9" s="311">
        <f t="shared" si="0"/>
        <v>3237034.9699999997</v>
      </c>
      <c r="F9" s="311">
        <f t="shared" si="0"/>
        <v>273780.81</v>
      </c>
      <c r="G9" s="311">
        <f t="shared" si="0"/>
        <v>36609886.15</v>
      </c>
      <c r="H9" s="311">
        <f t="shared" si="0"/>
        <v>181746.16</v>
      </c>
      <c r="I9" s="311">
        <f t="shared" si="0"/>
        <v>216564.31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2.75">
      <c r="A10" s="37"/>
      <c r="B10" s="312"/>
      <c r="C10" s="312"/>
      <c r="D10" s="312"/>
      <c r="E10" s="312"/>
      <c r="F10" s="312"/>
      <c r="G10" s="312"/>
      <c r="H10" s="312"/>
      <c r="I10" s="312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2.75">
      <c r="A11" s="37" t="s">
        <v>1</v>
      </c>
      <c r="B11" s="56">
        <v>0</v>
      </c>
      <c r="C11" s="56">
        <v>2617829.53</v>
      </c>
      <c r="D11" s="56">
        <v>108748</v>
      </c>
      <c r="E11" s="56">
        <v>137859.59</v>
      </c>
      <c r="F11" s="56">
        <v>0</v>
      </c>
      <c r="G11" s="56">
        <v>789160.14</v>
      </c>
      <c r="H11" s="56">
        <v>0</v>
      </c>
      <c r="I11" s="56"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2.75">
      <c r="A12" s="37" t="s">
        <v>2</v>
      </c>
      <c r="B12" s="56">
        <v>2363849</v>
      </c>
      <c r="C12" s="56">
        <v>14678133.950000001</v>
      </c>
      <c r="D12" s="56">
        <v>664749.79</v>
      </c>
      <c r="E12" s="56">
        <v>624579</v>
      </c>
      <c r="F12" s="56">
        <v>187105.01</v>
      </c>
      <c r="G12" s="35">
        <v>2754762.05</v>
      </c>
      <c r="H12" s="56">
        <v>0</v>
      </c>
      <c r="I12" s="56"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2.75">
      <c r="A13" s="37" t="s">
        <v>3</v>
      </c>
      <c r="B13" s="56">
        <v>419216.65</v>
      </c>
      <c r="C13" s="56">
        <v>22965503.93</v>
      </c>
      <c r="D13" s="56">
        <v>882060.56</v>
      </c>
      <c r="E13" s="214">
        <v>0</v>
      </c>
      <c r="F13" s="56">
        <v>53690.96</v>
      </c>
      <c r="G13" s="35">
        <v>9879112.7</v>
      </c>
      <c r="H13" s="56">
        <v>0</v>
      </c>
      <c r="I13" s="56"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2.75">
      <c r="A14" s="37" t="s">
        <v>4</v>
      </c>
      <c r="B14" s="214">
        <v>145709</v>
      </c>
      <c r="C14" s="56">
        <v>21092883.65</v>
      </c>
      <c r="D14" s="56">
        <v>818050.08</v>
      </c>
      <c r="E14" s="56">
        <v>879117</v>
      </c>
      <c r="F14" s="56">
        <v>0</v>
      </c>
      <c r="G14" s="56">
        <v>5279379.4</v>
      </c>
      <c r="H14" s="56">
        <v>181746.16</v>
      </c>
      <c r="I14" s="56">
        <v>216564.31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2.75">
      <c r="A15" s="37" t="s">
        <v>5</v>
      </c>
      <c r="B15" s="56">
        <v>256692.88</v>
      </c>
      <c r="C15" s="233">
        <v>3210908.09</v>
      </c>
      <c r="D15" s="56">
        <v>99295</v>
      </c>
      <c r="E15" s="56">
        <v>0</v>
      </c>
      <c r="F15" s="214">
        <v>3500</v>
      </c>
      <c r="G15" s="56">
        <v>491517</v>
      </c>
      <c r="H15" s="56">
        <v>0</v>
      </c>
      <c r="I15" s="56"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2.75">
      <c r="A16" s="37"/>
      <c r="B16" s="56"/>
      <c r="C16" s="56"/>
      <c r="D16" s="56"/>
      <c r="E16" s="56"/>
      <c r="F16" s="56"/>
      <c r="G16" s="56"/>
      <c r="H16" s="56"/>
      <c r="I16" s="5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2.75">
      <c r="A17" s="37" t="s">
        <v>6</v>
      </c>
      <c r="B17" s="56">
        <v>0</v>
      </c>
      <c r="C17" s="56">
        <v>1140207.84</v>
      </c>
      <c r="D17" s="56">
        <v>51902</v>
      </c>
      <c r="E17" s="56">
        <v>80986</v>
      </c>
      <c r="F17" s="56">
        <v>0</v>
      </c>
      <c r="G17" s="56">
        <v>376836.89</v>
      </c>
      <c r="H17" s="56">
        <v>0</v>
      </c>
      <c r="I17" s="56"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2.75">
      <c r="A18" s="37" t="s">
        <v>7</v>
      </c>
      <c r="B18" s="56">
        <v>0</v>
      </c>
      <c r="C18" s="214">
        <v>5774749.25</v>
      </c>
      <c r="D18" s="56">
        <v>183570.75</v>
      </c>
      <c r="E18" s="56">
        <v>186911</v>
      </c>
      <c r="F18" s="56">
        <v>0</v>
      </c>
      <c r="G18" s="56">
        <v>930003.28</v>
      </c>
      <c r="H18" s="56">
        <v>0</v>
      </c>
      <c r="I18" s="56"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2.75">
      <c r="A19" s="37" t="s">
        <v>8</v>
      </c>
      <c r="B19" s="56">
        <v>0</v>
      </c>
      <c r="C19" s="56">
        <v>3393461.96</v>
      </c>
      <c r="D19" s="56">
        <v>153044.55</v>
      </c>
      <c r="E19" s="56">
        <v>123666</v>
      </c>
      <c r="F19" s="56">
        <v>7288.36</v>
      </c>
      <c r="G19" s="56">
        <v>613429.67</v>
      </c>
      <c r="H19" s="56">
        <v>0</v>
      </c>
      <c r="I19" s="56"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2.75">
      <c r="A20" s="37" t="s">
        <v>9</v>
      </c>
      <c r="B20" s="214">
        <v>941099.05</v>
      </c>
      <c r="C20" s="56">
        <v>4567096.48</v>
      </c>
      <c r="D20" s="56">
        <v>110840</v>
      </c>
      <c r="E20" s="56">
        <v>0</v>
      </c>
      <c r="F20" s="56">
        <v>0</v>
      </c>
      <c r="G20" s="56">
        <v>911882.37</v>
      </c>
      <c r="H20" s="56">
        <v>0</v>
      </c>
      <c r="I20" s="56"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2.75">
      <c r="A21" s="37" t="s">
        <v>10</v>
      </c>
      <c r="B21" s="56">
        <v>0</v>
      </c>
      <c r="C21" s="56">
        <v>1070913.67</v>
      </c>
      <c r="D21" s="56">
        <v>34254.68</v>
      </c>
      <c r="E21" s="56">
        <v>82291</v>
      </c>
      <c r="F21" s="56">
        <v>0</v>
      </c>
      <c r="G21" s="56">
        <v>417380.79</v>
      </c>
      <c r="H21" s="56">
        <v>0</v>
      </c>
      <c r="I21" s="56"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2.75">
      <c r="A22" s="37"/>
      <c r="B22" s="56"/>
      <c r="C22" s="56"/>
      <c r="D22" s="56"/>
      <c r="E22" s="56"/>
      <c r="F22" s="56"/>
      <c r="G22" s="56"/>
      <c r="H22" s="56"/>
      <c r="I22" s="5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2.75">
      <c r="A23" s="37" t="s">
        <v>11</v>
      </c>
      <c r="B23" s="56">
        <v>117469.55</v>
      </c>
      <c r="C23" s="56">
        <v>6905049.739999999</v>
      </c>
      <c r="D23" s="56">
        <v>176318</v>
      </c>
      <c r="E23" s="56">
        <v>0</v>
      </c>
      <c r="F23" s="56">
        <v>0</v>
      </c>
      <c r="G23" s="56">
        <v>1013817.8</v>
      </c>
      <c r="H23" s="56">
        <v>0</v>
      </c>
      <c r="I23" s="56"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2.75">
      <c r="A24" s="37" t="s">
        <v>12</v>
      </c>
      <c r="B24" s="56">
        <v>536070.95</v>
      </c>
      <c r="C24" s="56">
        <v>1034935.53</v>
      </c>
      <c r="D24" s="56">
        <v>39915</v>
      </c>
      <c r="E24" s="56">
        <v>32580</v>
      </c>
      <c r="F24" s="56">
        <v>5440</v>
      </c>
      <c r="G24" s="56">
        <v>409405.17</v>
      </c>
      <c r="H24" s="56">
        <v>0</v>
      </c>
      <c r="I24" s="56"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2.75">
      <c r="A25" s="37" t="s">
        <v>13</v>
      </c>
      <c r="B25" s="56">
        <v>0</v>
      </c>
      <c r="C25" s="56">
        <v>7365192.67</v>
      </c>
      <c r="D25" s="56">
        <v>221618</v>
      </c>
      <c r="E25" s="56">
        <v>0</v>
      </c>
      <c r="F25" s="56">
        <v>0</v>
      </c>
      <c r="G25" s="56">
        <v>1337432.5</v>
      </c>
      <c r="H25" s="56">
        <v>0</v>
      </c>
      <c r="I25" s="56"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37" t="s">
        <v>14</v>
      </c>
      <c r="B26" s="313">
        <v>171785.28</v>
      </c>
      <c r="C26" s="56">
        <v>7785949.6899999995</v>
      </c>
      <c r="D26" s="56">
        <v>269812.62</v>
      </c>
      <c r="E26" s="56">
        <v>355268.55</v>
      </c>
      <c r="F26" s="56">
        <v>0</v>
      </c>
      <c r="G26" s="56">
        <v>912200.83</v>
      </c>
      <c r="H26" s="56">
        <v>0</v>
      </c>
      <c r="I26" s="56"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2.75">
      <c r="A27" s="37" t="s">
        <v>15</v>
      </c>
      <c r="B27" s="56">
        <v>0</v>
      </c>
      <c r="C27" s="56">
        <v>575738.98</v>
      </c>
      <c r="D27" s="56">
        <v>72319.56</v>
      </c>
      <c r="E27" s="56">
        <v>56621</v>
      </c>
      <c r="F27" s="56">
        <v>0</v>
      </c>
      <c r="G27" s="56">
        <v>144839.23</v>
      </c>
      <c r="H27" s="56">
        <v>0</v>
      </c>
      <c r="I27" s="56"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2.75">
      <c r="A28" s="37"/>
      <c r="B28" s="56"/>
      <c r="C28" s="56"/>
      <c r="D28" s="56"/>
      <c r="E28" s="56"/>
      <c r="F28" s="56"/>
      <c r="G28" s="56"/>
      <c r="H28" s="56"/>
      <c r="I28" s="5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2.75">
      <c r="A29" s="37" t="s">
        <v>16</v>
      </c>
      <c r="B29" s="56">
        <v>1163578</v>
      </c>
      <c r="C29" s="56">
        <v>26222976.450000003</v>
      </c>
      <c r="D29" s="56">
        <v>912661.02</v>
      </c>
      <c r="E29" s="56">
        <v>0</v>
      </c>
      <c r="F29" s="56">
        <v>0</v>
      </c>
      <c r="G29" s="56">
        <v>3630871.08</v>
      </c>
      <c r="H29" s="56">
        <v>0</v>
      </c>
      <c r="I29" s="5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2.75">
      <c r="A30" s="37" t="s">
        <v>17</v>
      </c>
      <c r="B30" s="56">
        <v>114898.89</v>
      </c>
      <c r="C30" s="56">
        <v>24274942.260000005</v>
      </c>
      <c r="D30" s="56">
        <v>699632.87</v>
      </c>
      <c r="E30" s="56">
        <v>0</v>
      </c>
      <c r="F30" s="56">
        <v>10465.48</v>
      </c>
      <c r="G30" s="56">
        <v>3083784.91</v>
      </c>
      <c r="H30" s="56">
        <v>0</v>
      </c>
      <c r="I30" s="56">
        <v>0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>
      <c r="A31" s="37" t="s">
        <v>18</v>
      </c>
      <c r="B31" s="56">
        <v>6000</v>
      </c>
      <c r="C31" s="56">
        <v>1622873.17</v>
      </c>
      <c r="D31" s="56">
        <v>68029.65</v>
      </c>
      <c r="E31" s="56">
        <v>89392.4</v>
      </c>
      <c r="F31" s="56">
        <v>0</v>
      </c>
      <c r="G31" s="56">
        <v>288157.2</v>
      </c>
      <c r="H31" s="56">
        <v>0</v>
      </c>
      <c r="I31" s="56">
        <v>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2.75">
      <c r="A32" s="37" t="s">
        <v>19</v>
      </c>
      <c r="B32" s="56">
        <v>1974093.08</v>
      </c>
      <c r="C32" s="56">
        <v>3079114.23</v>
      </c>
      <c r="D32" s="56">
        <v>118407</v>
      </c>
      <c r="E32" s="56">
        <v>0</v>
      </c>
      <c r="F32" s="56">
        <v>0</v>
      </c>
      <c r="G32" s="56">
        <v>741916.22</v>
      </c>
      <c r="H32" s="56">
        <v>0</v>
      </c>
      <c r="I32" s="56">
        <v>0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2.75">
      <c r="A33" s="37" t="s">
        <v>20</v>
      </c>
      <c r="B33" s="56">
        <v>0</v>
      </c>
      <c r="C33" s="56">
        <v>693923.64</v>
      </c>
      <c r="D33" s="56">
        <v>24441.23</v>
      </c>
      <c r="E33" s="56">
        <v>63558.23</v>
      </c>
      <c r="F33" s="56">
        <v>0</v>
      </c>
      <c r="G33" s="56">
        <v>273717</v>
      </c>
      <c r="H33" s="56">
        <v>0</v>
      </c>
      <c r="I33" s="56">
        <v>0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2.75">
      <c r="A34" s="37"/>
      <c r="B34" s="56"/>
      <c r="C34" s="56"/>
      <c r="D34" s="56"/>
      <c r="E34" s="56"/>
      <c r="F34" s="56"/>
      <c r="G34" s="56"/>
      <c r="H34" s="25"/>
      <c r="I34" s="5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2.75">
      <c r="A35" s="37" t="s">
        <v>21</v>
      </c>
      <c r="B35" s="56">
        <v>0</v>
      </c>
      <c r="C35" s="56">
        <v>960497.39</v>
      </c>
      <c r="D35" s="56">
        <v>25560.54</v>
      </c>
      <c r="E35" s="56">
        <v>71163.62</v>
      </c>
      <c r="F35" s="56">
        <v>0</v>
      </c>
      <c r="G35" s="56">
        <v>220510.39</v>
      </c>
      <c r="H35" s="56">
        <v>0</v>
      </c>
      <c r="I35" s="56">
        <v>0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2.75">
      <c r="A36" s="37" t="s">
        <v>22</v>
      </c>
      <c r="B36" s="240">
        <v>21036.93</v>
      </c>
      <c r="C36" s="56">
        <v>4471933.2</v>
      </c>
      <c r="D36" s="56">
        <v>109472.38</v>
      </c>
      <c r="E36" s="56">
        <v>201744.47</v>
      </c>
      <c r="F36" s="56">
        <v>5091</v>
      </c>
      <c r="G36" s="56">
        <v>894803.48</v>
      </c>
      <c r="H36" s="56">
        <v>0</v>
      </c>
      <c r="I36" s="56">
        <v>0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2.75">
      <c r="A37" s="37" t="s">
        <v>23</v>
      </c>
      <c r="B37" s="56">
        <v>12250</v>
      </c>
      <c r="C37" s="56">
        <v>2527407.62</v>
      </c>
      <c r="D37" s="56">
        <v>86649</v>
      </c>
      <c r="E37" s="56">
        <v>179840</v>
      </c>
      <c r="F37" s="56">
        <v>0</v>
      </c>
      <c r="G37" s="56">
        <v>578357.11</v>
      </c>
      <c r="H37" s="56">
        <v>0</v>
      </c>
      <c r="I37" s="56">
        <v>0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2.75">
      <c r="A38" s="36" t="s">
        <v>24</v>
      </c>
      <c r="B38" s="235">
        <v>0</v>
      </c>
      <c r="C38" s="235">
        <v>1436173.62</v>
      </c>
      <c r="D38" s="314">
        <v>42623</v>
      </c>
      <c r="E38" s="235">
        <v>71457.11</v>
      </c>
      <c r="F38" s="235">
        <v>1200</v>
      </c>
      <c r="G38" s="235">
        <v>636608.94</v>
      </c>
      <c r="H38" s="235">
        <v>0</v>
      </c>
      <c r="I38" s="235">
        <v>0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2.75">
      <c r="A39" s="37"/>
      <c r="B39" s="56"/>
      <c r="C39" s="56"/>
      <c r="D39" s="56"/>
      <c r="E39" s="56"/>
      <c r="F39" s="56"/>
      <c r="G39" s="25"/>
      <c r="H39" s="25"/>
      <c r="I39" s="5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2.75">
      <c r="A40" s="37"/>
      <c r="B40" s="56"/>
      <c r="C40" s="56"/>
      <c r="D40" s="56"/>
      <c r="E40" s="56"/>
      <c r="F40" s="5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12.75">
      <c r="A41" s="37"/>
      <c r="B41" s="56"/>
      <c r="C41" s="56"/>
      <c r="D41" s="56"/>
      <c r="E41" s="56"/>
      <c r="F41" s="5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2.75">
      <c r="A42" s="37"/>
      <c r="B42" s="56"/>
      <c r="C42" s="56"/>
      <c r="D42" s="56"/>
      <c r="E42" s="56"/>
      <c r="F42" s="5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ht="12.75">
      <c r="A43" s="37"/>
      <c r="B43" s="56"/>
      <c r="C43" s="56"/>
      <c r="D43" s="56"/>
      <c r="E43" s="56"/>
      <c r="F43" s="5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ht="12.75">
      <c r="A44" s="37"/>
      <c r="B44" s="56"/>
      <c r="C44" s="56"/>
      <c r="D44" s="56"/>
      <c r="E44" s="56"/>
      <c r="F44" s="5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2.75">
      <c r="A45" s="37"/>
      <c r="B45" s="56"/>
      <c r="C45" s="56"/>
      <c r="D45" s="56"/>
      <c r="E45" s="56"/>
      <c r="F45" s="56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2.75">
      <c r="A46" s="37"/>
      <c r="B46" s="56"/>
      <c r="C46" s="56"/>
      <c r="D46" s="56"/>
      <c r="E46" s="56"/>
      <c r="F46" s="5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2.75">
      <c r="A47" s="37"/>
      <c r="B47" s="56"/>
      <c r="C47" s="56"/>
      <c r="D47" s="56"/>
      <c r="E47" s="56"/>
      <c r="F47" s="5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2.75">
      <c r="A48" s="37"/>
      <c r="B48" s="56"/>
      <c r="C48" s="56"/>
      <c r="D48" s="56"/>
      <c r="E48" s="56"/>
      <c r="F48" s="56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2.75">
      <c r="A49" s="37"/>
      <c r="B49" s="56"/>
      <c r="C49" s="56"/>
      <c r="D49" s="56"/>
      <c r="E49" s="56"/>
      <c r="F49" s="5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2.75">
      <c r="A50" s="37"/>
      <c r="B50" s="56"/>
      <c r="C50" s="56"/>
      <c r="D50" s="56"/>
      <c r="E50" s="56"/>
      <c r="F50" s="56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2.75">
      <c r="A51" s="3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2.75">
      <c r="A52" s="3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2.75">
      <c r="A53" s="3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2.75">
      <c r="A54" s="3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2.75">
      <c r="A55" s="3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2.75">
      <c r="A56" s="3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12.75">
      <c r="A57" s="3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2.75">
      <c r="A58" s="3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2.75">
      <c r="A59" s="3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2.75">
      <c r="A60" s="3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2.75">
      <c r="A61" s="3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12.75">
      <c r="A62" s="3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ht="12.75">
      <c r="A63" s="3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2.75">
      <c r="A64" s="3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2.75">
      <c r="A65" s="3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ht="12.75">
      <c r="A66" s="3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2.75">
      <c r="A67" s="3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ht="12.75">
      <c r="A68" s="3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>
      <c r="A69" s="3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2.75">
      <c r="A70" s="3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ht="12.75">
      <c r="A71" s="3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2.75">
      <c r="A72" s="3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ht="12.75">
      <c r="A73" s="3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ht="12.75">
      <c r="A74" s="3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ht="12.75">
      <c r="A75" s="3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ht="12.75">
      <c r="A76" s="3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ht="12.75">
      <c r="A77" s="3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ht="12.75">
      <c r="A78" s="3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</sheetData>
  <sheetProtection password="CAF5" sheet="1" objects="1" scenarios="1"/>
  <mergeCells count="8">
    <mergeCell ref="A1:I1"/>
    <mergeCell ref="A3:I3"/>
    <mergeCell ref="C5:E5"/>
    <mergeCell ref="G5:G8"/>
    <mergeCell ref="I6:I8"/>
    <mergeCell ref="C7:D7"/>
    <mergeCell ref="E6:E8"/>
    <mergeCell ref="H6:H8"/>
  </mergeCells>
  <printOptions horizontalCentered="1"/>
  <pageMargins left="0.45" right="0.52" top="0.83" bottom="1" header="0.67" footer="0.5"/>
  <pageSetup fitToHeight="1" fitToWidth="1" horizontalDpi="600" verticalDpi="600" orientation="landscape" r:id="rId1"/>
  <headerFooter alignWithMargins="0">
    <oddFooter>&amp;L&amp;"Arial,Italic"&amp;9MSDE-DBS  10 / 2007&amp;C- 15 -&amp;R&amp;"Arial,Italic"&amp;9Selected Financial Data-Part 1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workbookViewId="0" topLeftCell="B1">
      <selection activeCell="I21" sqref="I21"/>
    </sheetView>
  </sheetViews>
  <sheetFormatPr defaultColWidth="9.140625" defaultRowHeight="12.75"/>
  <cols>
    <col min="1" max="1" width="17.57421875" style="0" customWidth="1"/>
    <col min="2" max="2" width="13.8515625" style="0" customWidth="1"/>
    <col min="3" max="3" width="16.421875" style="0" customWidth="1"/>
    <col min="4" max="4" width="15.57421875" style="0" customWidth="1"/>
    <col min="5" max="6" width="15.421875" style="0" customWidth="1"/>
    <col min="7" max="7" width="14.421875" style="0" customWidth="1"/>
    <col min="8" max="8" width="15.140625" style="0" customWidth="1"/>
    <col min="9" max="9" width="14.7109375" style="0" customWidth="1"/>
  </cols>
  <sheetData>
    <row r="1" spans="1:9" ht="12.75">
      <c r="A1" s="500" t="s">
        <v>130</v>
      </c>
      <c r="B1" s="500"/>
      <c r="C1" s="500"/>
      <c r="D1" s="500"/>
      <c r="E1" s="500"/>
      <c r="F1" s="500"/>
      <c r="G1" s="500"/>
      <c r="H1" s="500"/>
      <c r="I1" s="500"/>
    </row>
    <row r="2" spans="1:4" ht="12.75">
      <c r="A2" s="3"/>
      <c r="B2" s="3"/>
      <c r="C2" s="3"/>
      <c r="D2" s="3"/>
    </row>
    <row r="3" spans="1:9" ht="12.75">
      <c r="A3" s="500" t="s">
        <v>347</v>
      </c>
      <c r="B3" s="500"/>
      <c r="C3" s="500"/>
      <c r="D3" s="500"/>
      <c r="E3" s="500"/>
      <c r="F3" s="500"/>
      <c r="G3" s="500"/>
      <c r="H3" s="500"/>
      <c r="I3" s="500"/>
    </row>
    <row r="4" spans="1:16" ht="15" customHeight="1" thickBot="1">
      <c r="A4" s="13"/>
      <c r="B4" s="13"/>
      <c r="C4" s="13"/>
      <c r="D4" s="13"/>
      <c r="E4" s="13"/>
      <c r="F4" s="13"/>
      <c r="G4" s="13"/>
      <c r="H4" s="13"/>
      <c r="I4" s="13"/>
      <c r="P4" s="3"/>
    </row>
    <row r="5" spans="1:16" ht="12.75" customHeight="1" thickTop="1">
      <c r="A5" s="3"/>
      <c r="B5" s="263"/>
      <c r="C5" s="106" t="s">
        <v>153</v>
      </c>
      <c r="D5" s="517" t="s">
        <v>250</v>
      </c>
      <c r="E5" s="525" t="s">
        <v>352</v>
      </c>
      <c r="F5" s="520" t="s">
        <v>370</v>
      </c>
      <c r="G5" s="105"/>
      <c r="H5" s="106" t="s">
        <v>177</v>
      </c>
      <c r="I5" s="427" t="s">
        <v>353</v>
      </c>
      <c r="P5" s="3"/>
    </row>
    <row r="6" spans="1:16" ht="12.75">
      <c r="A6" s="3" t="s">
        <v>99</v>
      </c>
      <c r="B6" s="523" t="s">
        <v>241</v>
      </c>
      <c r="C6" s="106" t="s">
        <v>43</v>
      </c>
      <c r="D6" s="518"/>
      <c r="E6" s="485"/>
      <c r="F6" s="521"/>
      <c r="G6" s="105"/>
      <c r="H6" s="261" t="s">
        <v>178</v>
      </c>
      <c r="I6" s="485"/>
      <c r="P6" s="3"/>
    </row>
    <row r="7" spans="1:16" ht="12.75">
      <c r="A7" s="3" t="s">
        <v>41</v>
      </c>
      <c r="B7" s="523"/>
      <c r="C7" s="106" t="s">
        <v>84</v>
      </c>
      <c r="D7" s="518"/>
      <c r="E7" s="485"/>
      <c r="F7" s="521"/>
      <c r="G7" s="106" t="s">
        <v>174</v>
      </c>
      <c r="H7" s="106" t="s">
        <v>179</v>
      </c>
      <c r="I7" s="485"/>
      <c r="P7" s="3"/>
    </row>
    <row r="8" spans="1:16" ht="16.5" customHeight="1" thickBot="1">
      <c r="A8" s="7" t="s">
        <v>143</v>
      </c>
      <c r="B8" s="524"/>
      <c r="C8" s="260" t="s">
        <v>69</v>
      </c>
      <c r="D8" s="519"/>
      <c r="E8" s="447"/>
      <c r="F8" s="522"/>
      <c r="G8" s="260" t="s">
        <v>41</v>
      </c>
      <c r="H8" s="260" t="s">
        <v>33</v>
      </c>
      <c r="I8" s="447"/>
      <c r="P8" s="3"/>
    </row>
    <row r="9" spans="1:16" s="183" customFormat="1" ht="12.75">
      <c r="A9" s="181" t="s">
        <v>0</v>
      </c>
      <c r="B9" s="68">
        <f aca="true" t="shared" si="0" ref="B9:I9">SUM(B11:B38)</f>
        <v>1406675.84</v>
      </c>
      <c r="C9" s="182">
        <f t="shared" si="0"/>
        <v>328664.76</v>
      </c>
      <c r="D9" s="68">
        <f t="shared" si="0"/>
        <v>8364087.329999998</v>
      </c>
      <c r="E9" s="68">
        <f t="shared" si="0"/>
        <v>1064762.86</v>
      </c>
      <c r="F9" s="68">
        <f t="shared" si="0"/>
        <v>555227.2200000001</v>
      </c>
      <c r="G9" s="68">
        <f t="shared" si="0"/>
        <v>312368.55</v>
      </c>
      <c r="H9" s="68">
        <f t="shared" si="0"/>
        <v>216350.29000000004</v>
      </c>
      <c r="I9" s="262">
        <f t="shared" si="0"/>
        <v>0</v>
      </c>
      <c r="P9" s="68"/>
    </row>
    <row r="10" spans="1:16" ht="12.75">
      <c r="A10" s="3"/>
      <c r="B10" s="306"/>
      <c r="C10" s="104"/>
      <c r="D10" s="104"/>
      <c r="E10" s="104"/>
      <c r="F10" s="104"/>
      <c r="G10" s="104"/>
      <c r="H10" s="104"/>
      <c r="I10" s="104"/>
      <c r="J10" s="39"/>
      <c r="K10" s="39"/>
      <c r="L10" s="39"/>
      <c r="M10" s="39"/>
      <c r="P10" s="3"/>
    </row>
    <row r="11" spans="1:16" ht="12.75">
      <c r="A11" s="3" t="s">
        <v>1</v>
      </c>
      <c r="B11" s="229">
        <v>0</v>
      </c>
      <c r="C11" s="234">
        <v>14771.82</v>
      </c>
      <c r="D11" s="77">
        <v>431426.01</v>
      </c>
      <c r="E11" s="77">
        <v>20477.59</v>
      </c>
      <c r="F11" s="77">
        <v>35566.9</v>
      </c>
      <c r="G11" s="77">
        <v>0</v>
      </c>
      <c r="H11" s="77">
        <v>22210.87</v>
      </c>
      <c r="I11" s="77">
        <v>0</v>
      </c>
      <c r="J11" s="39"/>
      <c r="K11" s="39"/>
      <c r="L11" s="39"/>
      <c r="M11" s="39"/>
      <c r="P11" s="15"/>
    </row>
    <row r="12" spans="1:16" ht="12.75">
      <c r="A12" s="3" t="s">
        <v>2</v>
      </c>
      <c r="B12" s="229">
        <v>143971.44</v>
      </c>
      <c r="C12" s="315">
        <v>19822.84</v>
      </c>
      <c r="D12" s="77">
        <v>310044.85</v>
      </c>
      <c r="E12" s="77">
        <v>0</v>
      </c>
      <c r="F12" s="229">
        <v>9022.47</v>
      </c>
      <c r="G12" s="77">
        <v>59249.96</v>
      </c>
      <c r="H12" s="77">
        <v>23634.32</v>
      </c>
      <c r="I12" s="77">
        <v>0</v>
      </c>
      <c r="J12" s="39"/>
      <c r="K12" s="39"/>
      <c r="L12" s="39"/>
      <c r="M12" s="39"/>
      <c r="P12" s="15"/>
    </row>
    <row r="13" spans="1:16" ht="12.75">
      <c r="A13" s="3" t="s">
        <v>3</v>
      </c>
      <c r="B13" s="229">
        <v>1045428.14</v>
      </c>
      <c r="C13" s="234">
        <v>0</v>
      </c>
      <c r="D13" s="77">
        <v>0</v>
      </c>
      <c r="E13" s="77">
        <v>333086.29</v>
      </c>
      <c r="F13" s="229">
        <v>30177.73</v>
      </c>
      <c r="G13" s="77">
        <v>0</v>
      </c>
      <c r="H13" s="77">
        <v>18289.18</v>
      </c>
      <c r="I13" s="77">
        <v>0</v>
      </c>
      <c r="J13" s="39"/>
      <c r="K13" s="39"/>
      <c r="L13" s="39"/>
      <c r="M13" s="39"/>
      <c r="P13" s="15"/>
    </row>
    <row r="14" spans="1:16" ht="12.75">
      <c r="A14" s="3" t="s">
        <v>4</v>
      </c>
      <c r="B14" s="229">
        <v>0</v>
      </c>
      <c r="C14" s="77">
        <v>16938.44</v>
      </c>
      <c r="D14" s="77">
        <v>0</v>
      </c>
      <c r="E14" s="77">
        <v>201639.41</v>
      </c>
      <c r="F14" s="229">
        <v>24332.18</v>
      </c>
      <c r="G14" s="229">
        <v>0</v>
      </c>
      <c r="H14" s="77">
        <v>28010.36</v>
      </c>
      <c r="I14" s="77">
        <v>0</v>
      </c>
      <c r="J14" s="39"/>
      <c r="K14" s="39"/>
      <c r="L14" s="39"/>
      <c r="M14" s="39"/>
      <c r="P14" s="15"/>
    </row>
    <row r="15" spans="1:16" ht="12.75">
      <c r="A15" s="3" t="s">
        <v>5</v>
      </c>
      <c r="B15" s="229">
        <v>0</v>
      </c>
      <c r="C15" s="77">
        <v>7630.76</v>
      </c>
      <c r="D15" s="77">
        <v>300.44</v>
      </c>
      <c r="E15" s="77">
        <v>0</v>
      </c>
      <c r="F15" s="229">
        <v>0</v>
      </c>
      <c r="G15" s="77">
        <v>15000</v>
      </c>
      <c r="H15" s="77">
        <v>27386.3</v>
      </c>
      <c r="I15" s="77">
        <v>0</v>
      </c>
      <c r="J15" s="39"/>
      <c r="K15" s="39"/>
      <c r="L15" s="39"/>
      <c r="M15" s="39"/>
      <c r="P15" s="15"/>
    </row>
    <row r="16" spans="1:16" ht="12.75">
      <c r="A16" s="3"/>
      <c r="B16" s="316"/>
      <c r="C16" s="77"/>
      <c r="D16" s="77"/>
      <c r="E16" s="77"/>
      <c r="F16" s="229"/>
      <c r="G16" s="77"/>
      <c r="H16" s="77"/>
      <c r="I16" s="77"/>
      <c r="J16" s="39"/>
      <c r="K16" s="39"/>
      <c r="L16" s="39"/>
      <c r="M16" s="39"/>
      <c r="P16" s="15"/>
    </row>
    <row r="17" spans="1:16" ht="12.75">
      <c r="A17" s="3" t="s">
        <v>6</v>
      </c>
      <c r="B17" s="229">
        <v>0</v>
      </c>
      <c r="C17" s="77">
        <v>18300.85</v>
      </c>
      <c r="D17" s="77">
        <v>383265</v>
      </c>
      <c r="E17" s="77">
        <v>0</v>
      </c>
      <c r="F17" s="229">
        <v>44157</v>
      </c>
      <c r="G17" s="77">
        <v>0</v>
      </c>
      <c r="H17" s="77">
        <v>0</v>
      </c>
      <c r="I17" s="77">
        <v>0</v>
      </c>
      <c r="J17" s="39"/>
      <c r="K17" s="39"/>
      <c r="L17" s="39"/>
      <c r="M17" s="39"/>
      <c r="P17" s="15"/>
    </row>
    <row r="18" spans="1:16" ht="12.75">
      <c r="A18" s="3" t="s">
        <v>7</v>
      </c>
      <c r="B18" s="229">
        <v>0</v>
      </c>
      <c r="C18" s="77">
        <v>20039.74</v>
      </c>
      <c r="D18" s="77">
        <v>993047.76</v>
      </c>
      <c r="E18" s="77">
        <v>0</v>
      </c>
      <c r="F18" s="229">
        <v>0</v>
      </c>
      <c r="G18" s="77">
        <v>136468.71</v>
      </c>
      <c r="H18" s="77">
        <v>0</v>
      </c>
      <c r="I18" s="77">
        <v>0</v>
      </c>
      <c r="J18" s="39"/>
      <c r="K18" s="39"/>
      <c r="L18" s="39"/>
      <c r="M18" s="39"/>
      <c r="P18" s="15"/>
    </row>
    <row r="19" spans="1:16" ht="12.75">
      <c r="A19" s="3" t="s">
        <v>8</v>
      </c>
      <c r="B19" s="317">
        <v>0</v>
      </c>
      <c r="C19" s="77">
        <v>14266.87</v>
      </c>
      <c r="D19" s="77">
        <v>0</v>
      </c>
      <c r="E19" s="77">
        <v>0</v>
      </c>
      <c r="F19" s="229">
        <v>33469.76</v>
      </c>
      <c r="G19" s="77">
        <v>0</v>
      </c>
      <c r="H19" s="77">
        <v>15291.11</v>
      </c>
      <c r="I19" s="77">
        <v>0</v>
      </c>
      <c r="J19" s="39"/>
      <c r="K19" s="39"/>
      <c r="L19" s="39"/>
      <c r="M19" s="39"/>
      <c r="P19" s="15"/>
    </row>
    <row r="20" spans="1:16" ht="12.75">
      <c r="A20" s="3" t="s">
        <v>9</v>
      </c>
      <c r="B20" s="317">
        <v>0</v>
      </c>
      <c r="C20" s="77">
        <v>15121.11</v>
      </c>
      <c r="D20" s="77">
        <v>0</v>
      </c>
      <c r="E20" s="77">
        <v>0</v>
      </c>
      <c r="F20" s="229">
        <v>0</v>
      </c>
      <c r="G20" s="77">
        <v>0</v>
      </c>
      <c r="H20" s="77">
        <v>20159.15</v>
      </c>
      <c r="I20" s="77">
        <v>0</v>
      </c>
      <c r="J20" s="39"/>
      <c r="K20" s="39"/>
      <c r="L20" s="39"/>
      <c r="M20" s="39"/>
      <c r="P20" s="15"/>
    </row>
    <row r="21" spans="1:16" ht="12.75">
      <c r="A21" s="3" t="s">
        <v>10</v>
      </c>
      <c r="B21" s="229">
        <v>0</v>
      </c>
      <c r="C21" s="77">
        <v>13403.7</v>
      </c>
      <c r="D21" s="77">
        <v>0</v>
      </c>
      <c r="E21" s="77">
        <v>0</v>
      </c>
      <c r="F21" s="229">
        <v>30515.21</v>
      </c>
      <c r="G21" s="77">
        <v>0</v>
      </c>
      <c r="H21" s="77">
        <v>0</v>
      </c>
      <c r="I21" s="77">
        <v>0</v>
      </c>
      <c r="J21" s="39"/>
      <c r="K21" s="39"/>
      <c r="L21" s="39"/>
      <c r="M21" s="39"/>
      <c r="P21" s="15"/>
    </row>
    <row r="22" spans="1:16" ht="12.75">
      <c r="A22" s="3"/>
      <c r="B22" s="316"/>
      <c r="C22" s="77"/>
      <c r="D22" s="77"/>
      <c r="E22" s="77"/>
      <c r="F22" s="229"/>
      <c r="G22" s="77"/>
      <c r="H22" s="77"/>
      <c r="I22" s="77"/>
      <c r="J22" s="39"/>
      <c r="K22" s="39"/>
      <c r="L22" s="39"/>
      <c r="M22" s="39"/>
      <c r="P22" s="15"/>
    </row>
    <row r="23" spans="1:16" ht="12.75">
      <c r="A23" s="3" t="s">
        <v>11</v>
      </c>
      <c r="B23" s="229">
        <v>217276.26</v>
      </c>
      <c r="C23" s="77">
        <v>15754.11</v>
      </c>
      <c r="D23" s="77">
        <v>472834.75</v>
      </c>
      <c r="E23" s="77">
        <v>0</v>
      </c>
      <c r="F23" s="229">
        <v>0</v>
      </c>
      <c r="G23" s="77">
        <v>3035.85</v>
      </c>
      <c r="H23" s="77">
        <v>7150</v>
      </c>
      <c r="I23" s="77">
        <v>0</v>
      </c>
      <c r="J23" s="39"/>
      <c r="K23" s="39"/>
      <c r="L23" s="39"/>
      <c r="M23" s="39"/>
      <c r="P23" s="15"/>
    </row>
    <row r="24" spans="1:16" ht="12.75">
      <c r="A24" s="3" t="s">
        <v>12</v>
      </c>
      <c r="B24" s="229">
        <v>0</v>
      </c>
      <c r="C24" s="77">
        <v>2571.9</v>
      </c>
      <c r="D24" s="77">
        <v>0</v>
      </c>
      <c r="E24" s="241">
        <v>204345.54</v>
      </c>
      <c r="F24" s="229">
        <v>57396.07</v>
      </c>
      <c r="G24" s="77">
        <v>0</v>
      </c>
      <c r="H24" s="77">
        <v>17865.85</v>
      </c>
      <c r="I24" s="77">
        <v>0</v>
      </c>
      <c r="J24" s="39"/>
      <c r="K24" s="39"/>
      <c r="L24" s="39"/>
      <c r="M24" s="39"/>
      <c r="P24" s="15"/>
    </row>
    <row r="25" spans="1:16" ht="12.75">
      <c r="A25" s="3" t="s">
        <v>13</v>
      </c>
      <c r="B25" s="229">
        <v>0</v>
      </c>
      <c r="C25" s="77">
        <v>22778.63</v>
      </c>
      <c r="D25" s="77">
        <v>427135.13</v>
      </c>
      <c r="E25" s="77">
        <v>0</v>
      </c>
      <c r="F25" s="229">
        <v>1702</v>
      </c>
      <c r="G25" s="77">
        <v>5925</v>
      </c>
      <c r="H25" s="77">
        <v>0</v>
      </c>
      <c r="I25" s="77">
        <v>0</v>
      </c>
      <c r="J25" s="39"/>
      <c r="K25" s="39"/>
      <c r="L25" s="39"/>
      <c r="M25" s="39"/>
      <c r="P25" s="15"/>
    </row>
    <row r="26" spans="1:16" ht="12.75">
      <c r="A26" s="3" t="s">
        <v>14</v>
      </c>
      <c r="B26" s="229">
        <v>0</v>
      </c>
      <c r="C26" s="77">
        <v>11874.97</v>
      </c>
      <c r="D26" s="77">
        <v>627942.94</v>
      </c>
      <c r="E26" s="77">
        <v>0</v>
      </c>
      <c r="F26" s="229">
        <v>0</v>
      </c>
      <c r="G26" s="77">
        <v>0</v>
      </c>
      <c r="H26" s="77">
        <v>0</v>
      </c>
      <c r="I26" s="77">
        <v>0</v>
      </c>
      <c r="J26" s="39"/>
      <c r="K26" s="39"/>
      <c r="L26" s="39"/>
      <c r="M26" s="39"/>
      <c r="P26" s="15"/>
    </row>
    <row r="27" spans="1:16" ht="12.75">
      <c r="A27" s="3" t="s">
        <v>15</v>
      </c>
      <c r="B27" s="229">
        <v>0</v>
      </c>
      <c r="C27" s="77">
        <v>17555.2</v>
      </c>
      <c r="D27" s="77">
        <v>724527.08</v>
      </c>
      <c r="E27" s="77">
        <v>0</v>
      </c>
      <c r="F27" s="229">
        <v>15738.84</v>
      </c>
      <c r="G27" s="77">
        <v>0</v>
      </c>
      <c r="H27" s="77">
        <v>0</v>
      </c>
      <c r="I27" s="77">
        <v>0</v>
      </c>
      <c r="J27" s="39"/>
      <c r="K27" s="39"/>
      <c r="L27" s="39"/>
      <c r="M27" s="39"/>
      <c r="P27" s="15"/>
    </row>
    <row r="28" spans="1:16" ht="12.75">
      <c r="A28" s="3"/>
      <c r="B28" s="316"/>
      <c r="C28" s="77"/>
      <c r="D28" s="77"/>
      <c r="E28" s="77"/>
      <c r="F28" s="77"/>
      <c r="G28" s="77"/>
      <c r="H28" s="77"/>
      <c r="I28" s="77"/>
      <c r="J28" s="39"/>
      <c r="K28" s="39"/>
      <c r="L28" s="39"/>
      <c r="M28" s="39"/>
      <c r="P28" s="15"/>
    </row>
    <row r="29" spans="1:16" ht="12.75">
      <c r="A29" s="3" t="s">
        <v>16</v>
      </c>
      <c r="B29" s="229">
        <v>0</v>
      </c>
      <c r="C29" s="77">
        <v>23320.32</v>
      </c>
      <c r="D29" s="77">
        <v>632090.7</v>
      </c>
      <c r="E29" s="77">
        <v>0</v>
      </c>
      <c r="F29" s="77">
        <v>40144.47</v>
      </c>
      <c r="G29" s="77">
        <v>16289.03</v>
      </c>
      <c r="H29" s="77">
        <v>0</v>
      </c>
      <c r="I29" s="77">
        <v>0</v>
      </c>
      <c r="J29" s="39"/>
      <c r="K29" s="39"/>
      <c r="L29" s="39"/>
      <c r="M29" s="39"/>
      <c r="P29" s="15"/>
    </row>
    <row r="30" spans="1:16" ht="12.75">
      <c r="A30" s="3" t="s">
        <v>17</v>
      </c>
      <c r="B30" s="229">
        <v>0</v>
      </c>
      <c r="C30" s="77">
        <v>16000</v>
      </c>
      <c r="D30" s="77">
        <v>0</v>
      </c>
      <c r="E30" s="77">
        <v>7198.25</v>
      </c>
      <c r="F30" s="77">
        <v>3876.75</v>
      </c>
      <c r="G30" s="77">
        <v>0</v>
      </c>
      <c r="H30" s="77">
        <v>0</v>
      </c>
      <c r="I30" s="77">
        <v>0</v>
      </c>
      <c r="J30" s="39"/>
      <c r="K30" s="39"/>
      <c r="L30" s="39"/>
      <c r="M30" s="39"/>
      <c r="P30" s="15"/>
    </row>
    <row r="31" spans="1:16" ht="12.75">
      <c r="A31" s="3" t="s">
        <v>18</v>
      </c>
      <c r="B31" s="229">
        <v>0</v>
      </c>
      <c r="C31" s="77">
        <v>7850.01</v>
      </c>
      <c r="D31" s="77">
        <v>423294.09</v>
      </c>
      <c r="E31" s="77">
        <v>0</v>
      </c>
      <c r="F31" s="77">
        <v>0</v>
      </c>
      <c r="G31" s="229">
        <v>0</v>
      </c>
      <c r="H31" s="77">
        <v>0</v>
      </c>
      <c r="I31" s="77">
        <v>0</v>
      </c>
      <c r="J31" s="39"/>
      <c r="K31" s="39"/>
      <c r="L31" s="39"/>
      <c r="M31" s="39"/>
      <c r="P31" s="15"/>
    </row>
    <row r="32" spans="1:16" ht="12.75">
      <c r="A32" s="3" t="s">
        <v>19</v>
      </c>
      <c r="B32" s="229">
        <v>0</v>
      </c>
      <c r="C32" s="77">
        <v>11308.76</v>
      </c>
      <c r="D32" s="77">
        <v>616355.75</v>
      </c>
      <c r="E32" s="77">
        <v>0</v>
      </c>
      <c r="F32" s="77">
        <v>22767.6</v>
      </c>
      <c r="G32" s="77">
        <v>0</v>
      </c>
      <c r="H32" s="77">
        <v>8971.91</v>
      </c>
      <c r="I32" s="77">
        <v>0</v>
      </c>
      <c r="J32" s="39"/>
      <c r="K32" s="39"/>
      <c r="L32" s="39"/>
      <c r="M32" s="39"/>
      <c r="P32" s="15"/>
    </row>
    <row r="33" spans="1:16" ht="12.75">
      <c r="A33" s="3" t="s">
        <v>20</v>
      </c>
      <c r="B33" s="317">
        <v>0</v>
      </c>
      <c r="C33" s="77">
        <v>3583.86</v>
      </c>
      <c r="D33" s="77">
        <v>315924.23</v>
      </c>
      <c r="E33" s="77">
        <v>172673.34</v>
      </c>
      <c r="F33" s="77">
        <v>47855.15</v>
      </c>
      <c r="G33" s="77">
        <v>0</v>
      </c>
      <c r="H33" s="77">
        <v>0</v>
      </c>
      <c r="I33" s="77">
        <v>0</v>
      </c>
      <c r="J33" s="39"/>
      <c r="K33" s="39"/>
      <c r="L33" s="39"/>
      <c r="M33" s="39"/>
      <c r="P33" s="15"/>
    </row>
    <row r="34" spans="1:16" ht="12.75">
      <c r="A34" s="3"/>
      <c r="B34" s="316"/>
      <c r="C34" s="77"/>
      <c r="D34" s="77"/>
      <c r="E34" s="77"/>
      <c r="F34" s="77"/>
      <c r="G34" s="77"/>
      <c r="H34" s="39"/>
      <c r="I34" s="77"/>
      <c r="J34" s="39"/>
      <c r="K34" s="39"/>
      <c r="L34" s="39"/>
      <c r="M34" s="39"/>
      <c r="P34" s="15"/>
    </row>
    <row r="35" spans="1:16" ht="12.75">
      <c r="A35" s="3" t="s">
        <v>21</v>
      </c>
      <c r="B35" s="317">
        <v>0</v>
      </c>
      <c r="C35" s="77">
        <v>17392.99</v>
      </c>
      <c r="D35" s="77">
        <v>0</v>
      </c>
      <c r="E35" s="77">
        <v>0</v>
      </c>
      <c r="F35" s="77">
        <v>0</v>
      </c>
      <c r="G35" s="77">
        <v>66400</v>
      </c>
      <c r="H35" s="77">
        <v>13215.7</v>
      </c>
      <c r="I35" s="77">
        <v>0</v>
      </c>
      <c r="J35" s="39"/>
      <c r="K35" s="39"/>
      <c r="L35" s="39"/>
      <c r="M35" s="39"/>
      <c r="P35" s="15"/>
    </row>
    <row r="36" spans="1:16" ht="12.75">
      <c r="A36" s="3" t="s">
        <v>22</v>
      </c>
      <c r="B36" s="317">
        <v>0</v>
      </c>
      <c r="C36" s="77">
        <v>12861.44</v>
      </c>
      <c r="D36" s="77">
        <v>222331.62</v>
      </c>
      <c r="E36" s="77">
        <v>62872.04</v>
      </c>
      <c r="F36" s="77">
        <v>80210.78</v>
      </c>
      <c r="G36" s="77">
        <v>0</v>
      </c>
      <c r="H36" s="77">
        <v>0</v>
      </c>
      <c r="I36" s="77">
        <v>0</v>
      </c>
      <c r="J36" s="39"/>
      <c r="K36" s="39"/>
      <c r="L36" s="39"/>
      <c r="M36" s="39"/>
      <c r="P36" s="15"/>
    </row>
    <row r="37" spans="1:16" ht="12.75">
      <c r="A37" s="3" t="s">
        <v>23</v>
      </c>
      <c r="B37" s="317">
        <v>0</v>
      </c>
      <c r="C37" s="77">
        <v>11943.29</v>
      </c>
      <c r="D37" s="77">
        <v>813911.43</v>
      </c>
      <c r="E37" s="77">
        <v>62470.4</v>
      </c>
      <c r="F37" s="229">
        <v>14042.71</v>
      </c>
      <c r="G37" s="77">
        <v>0</v>
      </c>
      <c r="H37" s="77">
        <v>14165.54</v>
      </c>
      <c r="I37" s="77">
        <v>0</v>
      </c>
      <c r="J37" s="39"/>
      <c r="K37" s="39"/>
      <c r="L37" s="39"/>
      <c r="M37" s="39"/>
      <c r="P37" s="15"/>
    </row>
    <row r="38" spans="1:16" ht="12.75">
      <c r="A38" s="14" t="s">
        <v>24</v>
      </c>
      <c r="B38" s="318">
        <v>0</v>
      </c>
      <c r="C38" s="237">
        <v>13573.15</v>
      </c>
      <c r="D38" s="242">
        <v>969655.55</v>
      </c>
      <c r="E38" s="237">
        <v>0</v>
      </c>
      <c r="F38" s="237">
        <v>64251.6</v>
      </c>
      <c r="G38" s="237">
        <v>10000</v>
      </c>
      <c r="H38" s="237">
        <v>0</v>
      </c>
      <c r="I38" s="237">
        <v>0</v>
      </c>
      <c r="J38" s="39"/>
      <c r="K38" s="39"/>
      <c r="L38" s="39"/>
      <c r="M38" s="39"/>
      <c r="P38" s="15"/>
    </row>
    <row r="39" spans="1:16" ht="12.75">
      <c r="A39" s="3"/>
      <c r="B39" s="69"/>
      <c r="C39" s="77"/>
      <c r="D39" s="39"/>
      <c r="E39" s="77"/>
      <c r="F39" s="77"/>
      <c r="G39" s="77"/>
      <c r="H39" s="77"/>
      <c r="I39" s="77"/>
      <c r="J39" s="39"/>
      <c r="K39" s="39"/>
      <c r="L39" s="39"/>
      <c r="M39" s="39"/>
      <c r="P39" s="15"/>
    </row>
    <row r="40" spans="1:16" ht="12.75">
      <c r="A40" s="3"/>
      <c r="B40" s="69"/>
      <c r="C40" s="69"/>
      <c r="D40" s="39"/>
      <c r="E40" s="77"/>
      <c r="F40" s="77"/>
      <c r="G40" s="77"/>
      <c r="H40" s="77"/>
      <c r="I40" s="77"/>
      <c r="J40" s="39"/>
      <c r="K40" s="39"/>
      <c r="L40" s="39"/>
      <c r="M40" s="39"/>
      <c r="P40" s="15"/>
    </row>
    <row r="41" spans="1:16" ht="12.75">
      <c r="A41" s="3"/>
      <c r="B41" s="69"/>
      <c r="C41" s="69"/>
      <c r="D41" s="39"/>
      <c r="E41" s="77"/>
      <c r="F41" s="77"/>
      <c r="G41" s="77"/>
      <c r="H41" s="77"/>
      <c r="I41" s="77"/>
      <c r="J41" s="39"/>
      <c r="K41" s="39"/>
      <c r="L41" s="39"/>
      <c r="M41" s="39"/>
      <c r="P41" s="15"/>
    </row>
    <row r="42" spans="1:16" ht="12.75">
      <c r="A42" s="3"/>
      <c r="B42" s="69"/>
      <c r="C42" s="69"/>
      <c r="D42" s="39"/>
      <c r="E42" s="77"/>
      <c r="F42" s="77"/>
      <c r="G42" s="77"/>
      <c r="H42" s="77"/>
      <c r="I42" s="77"/>
      <c r="J42" s="39"/>
      <c r="K42" s="39"/>
      <c r="L42" s="39"/>
      <c r="M42" s="39"/>
      <c r="P42" s="15"/>
    </row>
    <row r="43" spans="1:16" ht="12.75">
      <c r="A43" s="3"/>
      <c r="B43" s="69"/>
      <c r="C43" s="69"/>
      <c r="D43" s="39"/>
      <c r="E43" s="77"/>
      <c r="F43" s="77"/>
      <c r="G43" s="77"/>
      <c r="H43" s="77"/>
      <c r="I43" s="77"/>
      <c r="J43" s="39"/>
      <c r="K43" s="39"/>
      <c r="L43" s="39"/>
      <c r="M43" s="39"/>
      <c r="P43" s="15"/>
    </row>
    <row r="44" spans="1:16" ht="12.75">
      <c r="A44" s="3"/>
      <c r="B44" s="69"/>
      <c r="C44" s="69"/>
      <c r="D44" s="39"/>
      <c r="E44" s="77"/>
      <c r="F44" s="77"/>
      <c r="G44" s="77"/>
      <c r="H44" s="77"/>
      <c r="I44" s="77"/>
      <c r="J44" s="39"/>
      <c r="K44" s="39"/>
      <c r="L44" s="39"/>
      <c r="M44" s="39"/>
      <c r="P44" s="15"/>
    </row>
    <row r="45" spans="1:16" ht="12.75">
      <c r="A45" s="3"/>
      <c r="B45" s="69"/>
      <c r="C45" s="69"/>
      <c r="D45" s="39"/>
      <c r="E45" s="77"/>
      <c r="F45" s="77"/>
      <c r="G45" s="77"/>
      <c r="H45" s="77"/>
      <c r="I45" s="77"/>
      <c r="J45" s="39"/>
      <c r="K45" s="39"/>
      <c r="L45" s="39"/>
      <c r="M45" s="39"/>
      <c r="P45" s="15"/>
    </row>
    <row r="46" spans="1:16" ht="12.75">
      <c r="A46" s="3"/>
      <c r="B46" s="69"/>
      <c r="C46" s="69"/>
      <c r="D46" s="39"/>
      <c r="E46" s="77"/>
      <c r="F46" s="77"/>
      <c r="G46" s="77"/>
      <c r="H46" s="77"/>
      <c r="I46" s="77"/>
      <c r="J46" s="39"/>
      <c r="K46" s="39"/>
      <c r="L46" s="39"/>
      <c r="M46" s="39"/>
      <c r="P46" s="15"/>
    </row>
    <row r="47" spans="1:16" ht="12.75">
      <c r="A47" s="3"/>
      <c r="B47" s="69"/>
      <c r="C47" s="69"/>
      <c r="D47" s="39"/>
      <c r="E47" s="77"/>
      <c r="F47" s="77"/>
      <c r="G47" s="77"/>
      <c r="H47" s="77"/>
      <c r="I47" s="77"/>
      <c r="J47" s="39"/>
      <c r="K47" s="39"/>
      <c r="L47" s="39"/>
      <c r="M47" s="39"/>
      <c r="P47" s="15"/>
    </row>
    <row r="48" spans="1:16" ht="12.75">
      <c r="A48" s="3"/>
      <c r="B48" s="69"/>
      <c r="C48" s="69"/>
      <c r="D48" s="39"/>
      <c r="E48" s="77"/>
      <c r="F48" s="77"/>
      <c r="G48" s="77"/>
      <c r="H48" s="77"/>
      <c r="I48" s="77"/>
      <c r="J48" s="39"/>
      <c r="K48" s="39"/>
      <c r="L48" s="39"/>
      <c r="M48" s="39"/>
      <c r="P48" s="15"/>
    </row>
    <row r="49" spans="1:16" ht="12.75">
      <c r="A49" s="3"/>
      <c r="B49" s="69"/>
      <c r="C49" s="69"/>
      <c r="D49" s="69"/>
      <c r="E49" s="77"/>
      <c r="F49" s="77"/>
      <c r="G49" s="77"/>
      <c r="H49" s="77"/>
      <c r="I49" s="77"/>
      <c r="J49" s="39"/>
      <c r="K49" s="39"/>
      <c r="L49" s="39"/>
      <c r="M49" s="39"/>
      <c r="P49" s="15"/>
    </row>
    <row r="50" spans="1:16" ht="12.75">
      <c r="A50" s="3"/>
      <c r="B50" s="69"/>
      <c r="C50" s="69"/>
      <c r="D50" s="69"/>
      <c r="E50" s="77"/>
      <c r="F50" s="77"/>
      <c r="G50" s="77"/>
      <c r="H50" s="77"/>
      <c r="I50" s="77"/>
      <c r="J50" s="39"/>
      <c r="K50" s="39"/>
      <c r="L50" s="39"/>
      <c r="M50" s="39"/>
      <c r="P50" s="15"/>
    </row>
    <row r="51" spans="1:13" ht="12.75">
      <c r="A51" s="3"/>
      <c r="B51" s="69"/>
      <c r="C51" s="69"/>
      <c r="D51" s="6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2.75">
      <c r="A52" s="3"/>
      <c r="B52" s="69"/>
      <c r="C52" s="69"/>
      <c r="D52" s="6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2.75">
      <c r="A53" s="3"/>
      <c r="B53" s="69"/>
      <c r="C53" s="69"/>
      <c r="D53" s="6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.75">
      <c r="A54" s="3"/>
      <c r="B54" s="69"/>
      <c r="C54" s="69"/>
      <c r="D54" s="6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2.75">
      <c r="A55" s="3"/>
      <c r="B55" s="69"/>
      <c r="C55" s="69"/>
      <c r="D55" s="6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2.75">
      <c r="A56" s="3"/>
      <c r="B56" s="69"/>
      <c r="C56" s="69"/>
      <c r="D56" s="6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3"/>
      <c r="B57" s="69"/>
      <c r="C57" s="69"/>
      <c r="D57" s="6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2.75">
      <c r="A58" s="3"/>
      <c r="B58" s="69"/>
      <c r="C58" s="69"/>
      <c r="D58" s="6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2.75">
      <c r="A59" s="3"/>
      <c r="B59" s="69"/>
      <c r="C59" s="69"/>
      <c r="D59" s="6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2.75">
      <c r="A60" s="3"/>
      <c r="B60" s="69"/>
      <c r="C60" s="69"/>
      <c r="D60" s="6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2.75">
      <c r="A61" s="3"/>
      <c r="B61" s="69"/>
      <c r="C61" s="69"/>
      <c r="D61" s="6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2.75">
      <c r="A62" s="3"/>
      <c r="B62" s="69"/>
      <c r="C62" s="69"/>
      <c r="D62" s="6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2.75">
      <c r="A63" s="3"/>
      <c r="B63" s="69"/>
      <c r="C63" s="69"/>
      <c r="D63" s="6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2.75">
      <c r="A64" s="3"/>
      <c r="B64" s="69"/>
      <c r="C64" s="69"/>
      <c r="D64" s="6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2.75">
      <c r="A65" s="3"/>
      <c r="B65" s="69"/>
      <c r="C65" s="69"/>
      <c r="D65" s="6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2.75">
      <c r="A66" s="3"/>
      <c r="B66" s="69"/>
      <c r="C66" s="69"/>
      <c r="D66" s="6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.75">
      <c r="A67" s="3"/>
      <c r="B67" s="69"/>
      <c r="C67" s="69"/>
      <c r="D67" s="69"/>
      <c r="E67" s="39"/>
      <c r="F67" s="39"/>
      <c r="G67" s="39"/>
      <c r="H67" s="39"/>
      <c r="I67" s="39"/>
      <c r="J67" s="39"/>
      <c r="K67" s="39"/>
      <c r="L67" s="39"/>
      <c r="M67" s="39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</sheetData>
  <sheetProtection password="CAF5" sheet="1" objects="1" scenarios="1"/>
  <mergeCells count="7">
    <mergeCell ref="A1:I1"/>
    <mergeCell ref="A3:I3"/>
    <mergeCell ref="D5:D8"/>
    <mergeCell ref="F5:F8"/>
    <mergeCell ref="B6:B8"/>
    <mergeCell ref="E5:E8"/>
    <mergeCell ref="I5:I8"/>
  </mergeCells>
  <printOptions horizontalCentered="1"/>
  <pageMargins left="0.56" right="0.49" top="0.83" bottom="1.07" header="0.67" footer="0.5"/>
  <pageSetup fitToHeight="1" fitToWidth="1" horizontalDpi="600" verticalDpi="600" orientation="landscape" scale="93" r:id="rId1"/>
  <headerFooter alignWithMargins="0">
    <oddHeader>&amp;R
</oddHeader>
    <oddFooter>&amp;L&amp;"Arial,Italic"&amp;9MSDE-DBS  10 / 2007&amp;C- 16 -&amp;R&amp;"Arial,Italic"&amp;9Selected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10">
      <selection activeCell="E10" sqref="E10"/>
    </sheetView>
  </sheetViews>
  <sheetFormatPr defaultColWidth="9.140625" defaultRowHeight="12.75"/>
  <cols>
    <col min="1" max="1" width="17.28125" style="0" customWidth="1"/>
    <col min="2" max="3" width="12.8515625" style="0" customWidth="1"/>
    <col min="4" max="4" width="14.00390625" style="0" customWidth="1"/>
    <col min="5" max="5" width="14.8515625" style="0" customWidth="1"/>
    <col min="6" max="6" width="12.28125" style="0" customWidth="1"/>
    <col min="7" max="8" width="13.7109375" style="0" customWidth="1"/>
    <col min="9" max="9" width="14.57421875" style="0" customWidth="1"/>
  </cols>
  <sheetData>
    <row r="1" spans="1:9" ht="12.75">
      <c r="A1" s="500" t="s">
        <v>130</v>
      </c>
      <c r="B1" s="500"/>
      <c r="C1" s="500"/>
      <c r="D1" s="500"/>
      <c r="E1" s="500"/>
      <c r="F1" s="500"/>
      <c r="G1" s="500"/>
      <c r="H1" s="500"/>
      <c r="I1" s="500"/>
    </row>
    <row r="2" ht="12.75">
      <c r="A2" s="3"/>
    </row>
    <row r="3" spans="1:9" ht="12.75">
      <c r="A3" s="500" t="s">
        <v>263</v>
      </c>
      <c r="B3" s="500"/>
      <c r="C3" s="500"/>
      <c r="D3" s="500"/>
      <c r="E3" s="500"/>
      <c r="F3" s="500"/>
      <c r="G3" s="500"/>
      <c r="H3" s="500"/>
      <c r="I3" s="500"/>
    </row>
    <row r="4" spans="1:9" ht="13.5" thickBot="1">
      <c r="A4" s="13"/>
      <c r="B4" s="13"/>
      <c r="C4" s="13"/>
      <c r="D4" s="13"/>
      <c r="E4" s="13"/>
      <c r="F4" s="13"/>
      <c r="G4" s="13"/>
      <c r="H4" s="13"/>
      <c r="I4" s="13"/>
    </row>
    <row r="5" spans="1:9" ht="15" customHeight="1" thickTop="1">
      <c r="A5" s="3"/>
      <c r="B5" s="64"/>
      <c r="C5" s="64"/>
      <c r="D5" s="526" t="s">
        <v>243</v>
      </c>
      <c r="E5" s="106" t="s">
        <v>175</v>
      </c>
      <c r="F5" s="106" t="s">
        <v>91</v>
      </c>
      <c r="G5" s="512" t="s">
        <v>230</v>
      </c>
      <c r="H5" s="527" t="s">
        <v>242</v>
      </c>
      <c r="I5" s="74" t="s">
        <v>47</v>
      </c>
    </row>
    <row r="6" spans="1:9" ht="12.75">
      <c r="A6" s="3" t="s">
        <v>99</v>
      </c>
      <c r="B6" s="106" t="s">
        <v>127</v>
      </c>
      <c r="D6" s="485"/>
      <c r="E6" s="106" t="s">
        <v>176</v>
      </c>
      <c r="F6" s="106" t="s">
        <v>92</v>
      </c>
      <c r="G6" s="490"/>
      <c r="H6" s="490"/>
      <c r="I6" s="4" t="s">
        <v>66</v>
      </c>
    </row>
    <row r="7" spans="1:9" ht="12.75">
      <c r="A7" s="3" t="s">
        <v>41</v>
      </c>
      <c r="B7" s="106" t="s">
        <v>128</v>
      </c>
      <c r="C7" s="106" t="s">
        <v>245</v>
      </c>
      <c r="D7" s="485"/>
      <c r="E7" s="106" t="s">
        <v>154</v>
      </c>
      <c r="F7" s="106" t="s">
        <v>70</v>
      </c>
      <c r="G7" s="490"/>
      <c r="H7" s="490"/>
      <c r="I7" s="4" t="s">
        <v>65</v>
      </c>
    </row>
    <row r="8" spans="1:9" ht="13.5" thickBot="1">
      <c r="A8" s="7" t="s">
        <v>143</v>
      </c>
      <c r="B8" s="260" t="s">
        <v>159</v>
      </c>
      <c r="C8" s="260" t="s">
        <v>26</v>
      </c>
      <c r="D8" s="447"/>
      <c r="E8" s="260" t="s">
        <v>79</v>
      </c>
      <c r="F8" s="260" t="s">
        <v>79</v>
      </c>
      <c r="G8" s="491"/>
      <c r="H8" s="491"/>
      <c r="I8" s="122" t="s">
        <v>78</v>
      </c>
    </row>
    <row r="9" spans="1:9" s="183" customFormat="1" ht="12.75">
      <c r="A9" s="181" t="s">
        <v>0</v>
      </c>
      <c r="B9" s="68">
        <f aca="true" t="shared" si="0" ref="B9:I9">SUM(B11:B38)</f>
        <v>4907735.659999999</v>
      </c>
      <c r="C9" s="68">
        <f t="shared" si="0"/>
        <v>18115.73</v>
      </c>
      <c r="D9" s="68">
        <f t="shared" si="0"/>
        <v>0</v>
      </c>
      <c r="E9" s="68">
        <f t="shared" si="0"/>
        <v>46885302.14</v>
      </c>
      <c r="F9" s="68">
        <f t="shared" si="0"/>
        <v>729924.5000000001</v>
      </c>
      <c r="G9" s="68">
        <f t="shared" si="0"/>
        <v>9953.099999999999</v>
      </c>
      <c r="H9" s="68">
        <f t="shared" si="0"/>
        <v>123785.03</v>
      </c>
      <c r="I9" s="68">
        <f t="shared" si="0"/>
        <v>40165506.02</v>
      </c>
    </row>
    <row r="10" spans="1:9" ht="12.75">
      <c r="A10" s="3"/>
      <c r="B10" s="104"/>
      <c r="C10" s="104"/>
      <c r="D10" s="104"/>
      <c r="E10" s="104"/>
      <c r="F10" s="104"/>
      <c r="G10" s="104"/>
      <c r="H10" s="104"/>
      <c r="I10" s="104"/>
    </row>
    <row r="11" spans="1:9" ht="12.75">
      <c r="A11" s="3" t="s">
        <v>1</v>
      </c>
      <c r="B11" s="77">
        <v>55041.78</v>
      </c>
      <c r="C11" s="77">
        <v>0</v>
      </c>
      <c r="D11" s="77">
        <v>0</v>
      </c>
      <c r="E11" s="77">
        <v>916021.04</v>
      </c>
      <c r="F11" s="77">
        <v>0</v>
      </c>
      <c r="G11" s="77">
        <v>394.53</v>
      </c>
      <c r="H11" s="77">
        <v>0</v>
      </c>
      <c r="I11" s="77">
        <f>501080.46+6000</f>
        <v>507080.46</v>
      </c>
    </row>
    <row r="12" spans="1:9" ht="12.75">
      <c r="A12" s="3" t="s">
        <v>2</v>
      </c>
      <c r="B12" s="77">
        <v>351220.12</v>
      </c>
      <c r="C12" s="77">
        <v>0</v>
      </c>
      <c r="D12" s="77">
        <v>0</v>
      </c>
      <c r="E12" s="77">
        <v>2209229.85</v>
      </c>
      <c r="F12" s="77">
        <v>65702.04</v>
      </c>
      <c r="G12" s="77">
        <v>0</v>
      </c>
      <c r="H12" s="77">
        <v>0</v>
      </c>
      <c r="I12" s="77">
        <f>2415469.12+202.68+42970.6</f>
        <v>2458642.4000000004</v>
      </c>
    </row>
    <row r="13" spans="1:9" ht="12.75">
      <c r="A13" s="3" t="s">
        <v>3</v>
      </c>
      <c r="B13" s="73">
        <v>1210300.04</v>
      </c>
      <c r="C13" s="77">
        <v>0</v>
      </c>
      <c r="D13" s="77">
        <v>0</v>
      </c>
      <c r="E13" s="77">
        <v>11881084.36</v>
      </c>
      <c r="F13" s="77">
        <v>57807.26</v>
      </c>
      <c r="G13" s="77">
        <v>0</v>
      </c>
      <c r="H13" s="77">
        <v>0</v>
      </c>
      <c r="I13" s="77">
        <v>3812148.94</v>
      </c>
    </row>
    <row r="14" spans="1:9" ht="12.75">
      <c r="A14" s="3" t="s">
        <v>4</v>
      </c>
      <c r="B14" s="77">
        <v>549152.16</v>
      </c>
      <c r="C14" s="77">
        <v>0</v>
      </c>
      <c r="D14" s="77">
        <v>0</v>
      </c>
      <c r="E14" s="77">
        <v>9357498.34</v>
      </c>
      <c r="F14" s="77">
        <v>151056.42</v>
      </c>
      <c r="G14" s="77">
        <v>106.42</v>
      </c>
      <c r="H14" s="77">
        <v>0</v>
      </c>
      <c r="I14" s="77">
        <f>4930785.83+13190+480568.57</f>
        <v>5424544.4</v>
      </c>
    </row>
    <row r="15" spans="1:9" ht="12.75">
      <c r="A15" s="3" t="s">
        <v>5</v>
      </c>
      <c r="B15" s="73">
        <v>75741.36</v>
      </c>
      <c r="C15" s="77">
        <v>0</v>
      </c>
      <c r="D15" s="77">
        <v>0</v>
      </c>
      <c r="E15" s="234">
        <v>706693.09</v>
      </c>
      <c r="F15" s="77">
        <v>28884.46</v>
      </c>
      <c r="G15" s="77">
        <v>0</v>
      </c>
      <c r="H15" s="77">
        <v>0</v>
      </c>
      <c r="I15" s="77">
        <f>439683.6+22230.88</f>
        <v>461914.48</v>
      </c>
    </row>
    <row r="16" spans="1:9" ht="12.75">
      <c r="A16" s="3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3" t="s">
        <v>6</v>
      </c>
      <c r="B17" s="77">
        <v>36224.64</v>
      </c>
      <c r="C17" s="77">
        <v>0</v>
      </c>
      <c r="D17" s="77">
        <v>0</v>
      </c>
      <c r="E17" s="77">
        <v>552190.44</v>
      </c>
      <c r="F17" s="77">
        <v>0</v>
      </c>
      <c r="G17" s="77">
        <v>0</v>
      </c>
      <c r="H17" s="77">
        <v>0</v>
      </c>
      <c r="I17" s="77">
        <v>7500</v>
      </c>
    </row>
    <row r="18" spans="1:9" ht="12.75">
      <c r="A18" s="3" t="s">
        <v>7</v>
      </c>
      <c r="B18" s="77">
        <v>79257.44</v>
      </c>
      <c r="C18" s="77">
        <v>0</v>
      </c>
      <c r="D18" s="77">
        <v>0</v>
      </c>
      <c r="E18" s="77">
        <v>1143928.72</v>
      </c>
      <c r="F18" s="77">
        <v>0</v>
      </c>
      <c r="G18" s="77">
        <v>0</v>
      </c>
      <c r="H18" s="77">
        <v>0</v>
      </c>
      <c r="I18" s="77">
        <f>520734.77+28000+463.15</f>
        <v>549197.92</v>
      </c>
    </row>
    <row r="19" spans="1:9" ht="12.75">
      <c r="A19" s="3" t="s">
        <v>8</v>
      </c>
      <c r="B19" s="77">
        <v>71596.75</v>
      </c>
      <c r="C19" s="77">
        <v>0</v>
      </c>
      <c r="D19" s="77">
        <v>0</v>
      </c>
      <c r="E19" s="77">
        <v>768480.55</v>
      </c>
      <c r="F19" s="77">
        <v>0</v>
      </c>
      <c r="G19" s="77">
        <v>0</v>
      </c>
      <c r="H19" s="77">
        <v>0</v>
      </c>
      <c r="I19" s="77">
        <f>63020.41+12000+102381.54</f>
        <v>177401.95</v>
      </c>
    </row>
    <row r="20" spans="1:9" ht="12.75">
      <c r="A20" s="3" t="s">
        <v>9</v>
      </c>
      <c r="B20" s="77">
        <v>107196.4</v>
      </c>
      <c r="C20" s="77">
        <v>0</v>
      </c>
      <c r="D20" s="77">
        <v>0</v>
      </c>
      <c r="E20" s="77">
        <v>964409.17</v>
      </c>
      <c r="F20" s="77">
        <v>23607.69</v>
      </c>
      <c r="G20" s="77">
        <v>0</v>
      </c>
      <c r="H20" s="77">
        <v>0</v>
      </c>
      <c r="I20" s="77">
        <f>721426.15+9228.1+151500</f>
        <v>882154.25</v>
      </c>
    </row>
    <row r="21" spans="1:9" ht="12.75">
      <c r="A21" s="3" t="s">
        <v>10</v>
      </c>
      <c r="B21" s="77">
        <v>23901.07</v>
      </c>
      <c r="C21" s="77">
        <v>0</v>
      </c>
      <c r="D21" s="77">
        <v>0</v>
      </c>
      <c r="E21" s="77">
        <v>465909.38</v>
      </c>
      <c r="F21" s="77">
        <v>0</v>
      </c>
      <c r="G21" s="77">
        <v>0</v>
      </c>
      <c r="H21" s="77">
        <v>0</v>
      </c>
      <c r="I21" s="77">
        <v>0</v>
      </c>
    </row>
    <row r="22" spans="1:9" ht="12.75">
      <c r="A22" s="3"/>
      <c r="B22" s="77"/>
      <c r="C22" s="77"/>
      <c r="D22" s="77"/>
      <c r="E22" s="77"/>
      <c r="F22" s="77"/>
      <c r="G22" s="77"/>
      <c r="H22" s="77"/>
      <c r="I22" s="77"/>
    </row>
    <row r="23" spans="1:9" ht="12.75">
      <c r="A23" s="3" t="s">
        <v>11</v>
      </c>
      <c r="B23" s="77">
        <v>120240</v>
      </c>
      <c r="C23" s="77">
        <v>0</v>
      </c>
      <c r="D23" s="77">
        <v>0</v>
      </c>
      <c r="E23" s="77">
        <v>1105479.74</v>
      </c>
      <c r="F23" s="77">
        <v>55619.19</v>
      </c>
      <c r="G23" s="77">
        <v>0</v>
      </c>
      <c r="H23" s="77">
        <v>0</v>
      </c>
      <c r="I23" s="77">
        <f>324802.31+120806+20838.5</f>
        <v>466446.81</v>
      </c>
    </row>
    <row r="24" spans="1:9" ht="12.75">
      <c r="A24" s="3" t="s">
        <v>12</v>
      </c>
      <c r="B24" s="77">
        <v>45432.88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f>32741.86+104276.74</f>
        <v>137018.6</v>
      </c>
    </row>
    <row r="25" spans="1:9" ht="12.75">
      <c r="A25" s="3" t="s">
        <v>13</v>
      </c>
      <c r="B25" s="77">
        <v>151497.26</v>
      </c>
      <c r="C25" s="77">
        <v>0</v>
      </c>
      <c r="D25" s="77">
        <v>0</v>
      </c>
      <c r="E25" s="77">
        <v>3176391.14</v>
      </c>
      <c r="F25" s="77">
        <v>14438.33</v>
      </c>
      <c r="G25" s="77">
        <v>0</v>
      </c>
      <c r="H25" s="77">
        <v>0</v>
      </c>
      <c r="I25" s="77">
        <f>463359.09+1788.35+410759.3</f>
        <v>875906.74</v>
      </c>
    </row>
    <row r="26" spans="1:9" ht="12.75">
      <c r="A26" s="3" t="s">
        <v>14</v>
      </c>
      <c r="B26" s="77">
        <v>155873.07</v>
      </c>
      <c r="C26" s="77">
        <v>0</v>
      </c>
      <c r="D26" s="77">
        <v>0</v>
      </c>
      <c r="E26" s="77">
        <v>1076049.58</v>
      </c>
      <c r="F26" s="77">
        <v>49259.54</v>
      </c>
      <c r="G26" s="77">
        <v>0</v>
      </c>
      <c r="H26" s="77">
        <v>0</v>
      </c>
      <c r="I26" s="77">
        <f>467278.39+27160.53</f>
        <v>494438.92000000004</v>
      </c>
    </row>
    <row r="27" spans="1:9" ht="12.75">
      <c r="A27" s="3" t="s">
        <v>15</v>
      </c>
      <c r="B27" s="234">
        <v>15766</v>
      </c>
      <c r="C27" s="77">
        <v>0</v>
      </c>
      <c r="D27" s="77">
        <v>0</v>
      </c>
      <c r="E27" s="77">
        <v>214126.88</v>
      </c>
      <c r="F27" s="77">
        <v>0</v>
      </c>
      <c r="G27" s="77">
        <v>5452.15</v>
      </c>
      <c r="H27" s="77">
        <v>0</v>
      </c>
      <c r="I27" s="77">
        <f>44522.39+21294.53</f>
        <v>65816.92</v>
      </c>
    </row>
    <row r="28" spans="1:9" ht="12.75">
      <c r="A28" s="3"/>
      <c r="B28" s="77"/>
      <c r="C28" s="77"/>
      <c r="D28" s="77"/>
      <c r="E28" s="77"/>
      <c r="F28" s="77"/>
      <c r="G28" s="77"/>
      <c r="H28" s="77"/>
      <c r="I28" s="77"/>
    </row>
    <row r="29" spans="1:9" ht="12.75">
      <c r="A29" s="3" t="s">
        <v>16</v>
      </c>
      <c r="B29" s="77">
        <v>654781.7</v>
      </c>
      <c r="C29" s="77">
        <v>0</v>
      </c>
      <c r="D29" s="77">
        <v>0</v>
      </c>
      <c r="E29" s="77">
        <v>4797847.32</v>
      </c>
      <c r="F29" s="234">
        <v>157523.57</v>
      </c>
      <c r="G29" s="77">
        <v>4000</v>
      </c>
      <c r="H29" s="77">
        <v>0</v>
      </c>
      <c r="I29" s="77">
        <f>10557703.29+5092.25</f>
        <v>10562795.54</v>
      </c>
    </row>
    <row r="30" spans="1:9" ht="12.75">
      <c r="A30" s="3" t="s">
        <v>17</v>
      </c>
      <c r="B30" s="77">
        <v>805320.69</v>
      </c>
      <c r="C30" s="77">
        <v>0</v>
      </c>
      <c r="D30" s="77">
        <v>0</v>
      </c>
      <c r="E30" s="77">
        <v>3692883.96</v>
      </c>
      <c r="F30" s="234">
        <v>93336.07</v>
      </c>
      <c r="G30" s="77">
        <v>0</v>
      </c>
      <c r="H30" s="77">
        <v>123785.03</v>
      </c>
      <c r="I30" s="77">
        <f>25507.96+6936077.47+64427.95+4383.86+2877548.97</f>
        <v>9907946.21</v>
      </c>
    </row>
    <row r="31" spans="1:9" ht="12.75">
      <c r="A31" s="3" t="s">
        <v>18</v>
      </c>
      <c r="B31" s="77">
        <v>29568.87</v>
      </c>
      <c r="C31" s="77">
        <v>0</v>
      </c>
      <c r="D31" s="77">
        <v>0</v>
      </c>
      <c r="E31" s="77">
        <v>471388.96</v>
      </c>
      <c r="F31" s="77">
        <v>0</v>
      </c>
      <c r="G31" s="77">
        <v>0</v>
      </c>
      <c r="H31" s="77">
        <v>0</v>
      </c>
      <c r="I31" s="77">
        <v>521242.95</v>
      </c>
    </row>
    <row r="32" spans="1:9" ht="12.75">
      <c r="A32" s="3" t="s">
        <v>19</v>
      </c>
      <c r="B32" s="77">
        <v>77905.88</v>
      </c>
      <c r="C32" s="77">
        <v>0</v>
      </c>
      <c r="D32" s="77">
        <v>0</v>
      </c>
      <c r="E32" s="77">
        <v>734384.99</v>
      </c>
      <c r="F32" s="77">
        <v>24943.75</v>
      </c>
      <c r="G32" s="77">
        <v>0</v>
      </c>
      <c r="H32" s="77">
        <v>0</v>
      </c>
      <c r="I32" s="77">
        <f>14189.35+399776.57+2880.25+61000+503597.34</f>
        <v>981443.51</v>
      </c>
    </row>
    <row r="33" spans="1:9" ht="12.75">
      <c r="A33" s="3" t="s">
        <v>20</v>
      </c>
      <c r="B33" s="77">
        <v>32250.51</v>
      </c>
      <c r="C33" s="77">
        <v>0</v>
      </c>
      <c r="D33" s="77">
        <v>0</v>
      </c>
      <c r="E33" s="77">
        <v>179001.85</v>
      </c>
      <c r="F33" s="77">
        <v>0</v>
      </c>
      <c r="G33" s="77">
        <v>0</v>
      </c>
      <c r="H33" s="77">
        <v>0</v>
      </c>
      <c r="I33" s="77">
        <f>85844.8+527329.42</f>
        <v>613174.2200000001</v>
      </c>
    </row>
    <row r="34" spans="1:9" ht="12.75">
      <c r="A34" s="3"/>
      <c r="B34" s="77"/>
      <c r="C34" s="77"/>
      <c r="D34" s="77"/>
      <c r="E34" s="77"/>
      <c r="F34" s="77"/>
      <c r="G34" s="77"/>
      <c r="H34" s="77"/>
      <c r="I34" s="77"/>
    </row>
    <row r="35" spans="1:9" ht="12.75">
      <c r="A35" s="3" t="s">
        <v>21</v>
      </c>
      <c r="B35" s="77">
        <v>24069.98</v>
      </c>
      <c r="C35" s="77">
        <v>0</v>
      </c>
      <c r="D35" s="77">
        <v>0</v>
      </c>
      <c r="E35" s="77">
        <v>67504.66</v>
      </c>
      <c r="F35" s="77">
        <v>0</v>
      </c>
      <c r="G35" s="77">
        <v>0</v>
      </c>
      <c r="H35" s="77">
        <v>0</v>
      </c>
      <c r="I35" s="77">
        <f>616+9953.51+15000+9953.51</f>
        <v>35523.020000000004</v>
      </c>
    </row>
    <row r="36" spans="1:9" ht="12.75">
      <c r="A36" s="3" t="s">
        <v>22</v>
      </c>
      <c r="B36" s="77">
        <v>102536.9</v>
      </c>
      <c r="C36" s="77">
        <v>0</v>
      </c>
      <c r="D36" s="77">
        <v>0</v>
      </c>
      <c r="E36" s="77">
        <v>822805.65</v>
      </c>
      <c r="F36" s="77">
        <v>0</v>
      </c>
      <c r="G36" s="227">
        <v>0</v>
      </c>
      <c r="H36" s="77">
        <v>0</v>
      </c>
      <c r="I36" s="77">
        <f>296212.6+49150.07+19000+1000</f>
        <v>365362.67</v>
      </c>
    </row>
    <row r="37" spans="1:9" ht="12.75">
      <c r="A37" s="3" t="s">
        <v>23</v>
      </c>
      <c r="B37" s="77">
        <v>83810.1</v>
      </c>
      <c r="C37" s="77">
        <v>18115.73</v>
      </c>
      <c r="D37" s="77">
        <v>0</v>
      </c>
      <c r="E37" s="77">
        <v>1293728.19</v>
      </c>
      <c r="F37" s="77">
        <v>7746.18</v>
      </c>
      <c r="G37" s="77">
        <v>0</v>
      </c>
      <c r="H37" s="77">
        <v>0</v>
      </c>
      <c r="I37" s="77">
        <v>466375.1</v>
      </c>
    </row>
    <row r="38" spans="1:9" ht="12.75">
      <c r="A38" s="14" t="s">
        <v>24</v>
      </c>
      <c r="B38" s="237">
        <v>49050.06</v>
      </c>
      <c r="C38" s="237">
        <v>0</v>
      </c>
      <c r="D38" s="237">
        <v>0</v>
      </c>
      <c r="E38" s="237">
        <v>288264.28</v>
      </c>
      <c r="F38" s="237">
        <v>0</v>
      </c>
      <c r="G38" s="237">
        <v>0</v>
      </c>
      <c r="H38" s="237">
        <v>0</v>
      </c>
      <c r="I38" s="237">
        <v>391430.01</v>
      </c>
    </row>
    <row r="39" spans="1:9" ht="12.75">
      <c r="A39" s="3"/>
      <c r="B39" s="77"/>
      <c r="C39" s="77"/>
      <c r="D39" s="77"/>
      <c r="E39" s="77"/>
      <c r="F39" s="77"/>
      <c r="G39" s="77"/>
      <c r="H39" s="77"/>
      <c r="I39" s="77"/>
    </row>
    <row r="40" spans="1:9" ht="12.75">
      <c r="A40" s="3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3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3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3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3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3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3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3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3"/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3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3"/>
      <c r="B50" s="15"/>
      <c r="C50" s="15"/>
      <c r="D50" s="15"/>
      <c r="E50" s="15"/>
      <c r="F50" s="15"/>
      <c r="G50" s="15"/>
      <c r="H50" s="15"/>
      <c r="I50" s="15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</sheetData>
  <sheetProtection password="CAF5" sheet="1" objects="1" scenarios="1"/>
  <mergeCells count="5">
    <mergeCell ref="A1:I1"/>
    <mergeCell ref="A3:I3"/>
    <mergeCell ref="D5:D8"/>
    <mergeCell ref="G5:G8"/>
    <mergeCell ref="H5:H8"/>
  </mergeCells>
  <printOptions horizontalCentered="1"/>
  <pageMargins left="0.69" right="0.65" top="0.83" bottom="1.2" header="0.67" footer="0.5"/>
  <pageSetup fitToHeight="1" fitToWidth="1" horizontalDpi="600" verticalDpi="600" orientation="landscape" scale="98" r:id="rId1"/>
  <headerFooter alignWithMargins="0">
    <oddFooter>&amp;L&amp;"Arial,Italic"&amp;9MSDE-DBS  10 / 2007&amp;C- 17 -&amp;R&amp;"Arial,Italic"&amp;9Selected Financial Data-Part 1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workbookViewId="0" topLeftCell="E13">
      <selection activeCell="H39" sqref="H39"/>
    </sheetView>
  </sheetViews>
  <sheetFormatPr defaultColWidth="9.140625" defaultRowHeight="12.75"/>
  <cols>
    <col min="1" max="1" width="17.57421875" style="26" customWidth="1"/>
    <col min="2" max="2" width="12.00390625" style="26" customWidth="1"/>
    <col min="3" max="3" width="16.00390625" style="26" customWidth="1"/>
    <col min="4" max="4" width="13.7109375" style="26" customWidth="1"/>
    <col min="5" max="5" width="14.8515625" style="26" customWidth="1"/>
    <col min="6" max="6" width="14.57421875" style="26" customWidth="1"/>
    <col min="7" max="7" width="15.57421875" style="26" customWidth="1"/>
    <col min="8" max="8" width="17.57421875" style="26" customWidth="1"/>
    <col min="9" max="9" width="15.57421875" style="26" customWidth="1"/>
    <col min="10" max="10" width="13.7109375" style="26" customWidth="1"/>
    <col min="11" max="11" width="14.7109375" style="26" customWidth="1"/>
    <col min="12" max="12" width="12.57421875" style="26" customWidth="1"/>
    <col min="13" max="16384" width="11.421875" style="26" customWidth="1"/>
  </cols>
  <sheetData>
    <row r="1" spans="1:12" ht="12.75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117"/>
      <c r="K2" s="117"/>
      <c r="L2" s="24"/>
    </row>
    <row r="3" spans="1:12" ht="12.75">
      <c r="A3" s="50" t="s">
        <v>354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3.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 customHeight="1" thickTop="1">
      <c r="A5" s="528" t="s">
        <v>210</v>
      </c>
      <c r="B5" s="528" t="s">
        <v>264</v>
      </c>
      <c r="C5" s="528" t="s">
        <v>274</v>
      </c>
      <c r="D5" s="528" t="s">
        <v>213</v>
      </c>
      <c r="E5" s="528" t="s">
        <v>265</v>
      </c>
      <c r="F5" s="528" t="s">
        <v>267</v>
      </c>
      <c r="G5" s="455" t="s">
        <v>116</v>
      </c>
      <c r="H5" s="455"/>
      <c r="I5" s="455"/>
      <c r="J5" s="455"/>
      <c r="K5" s="455"/>
      <c r="L5" s="455"/>
    </row>
    <row r="6" spans="1:12" ht="12.75">
      <c r="A6" s="485"/>
      <c r="B6" s="485"/>
      <c r="C6" s="485"/>
      <c r="D6" s="485"/>
      <c r="E6" s="485"/>
      <c r="F6" s="485"/>
      <c r="G6" s="468" t="s">
        <v>214</v>
      </c>
      <c r="H6" s="468" t="s">
        <v>266</v>
      </c>
      <c r="I6" s="408"/>
      <c r="J6" s="468" t="s">
        <v>211</v>
      </c>
      <c r="K6" s="468" t="s">
        <v>209</v>
      </c>
      <c r="L6" s="468" t="s">
        <v>212</v>
      </c>
    </row>
    <row r="7" spans="1:12" ht="12.75">
      <c r="A7" s="485"/>
      <c r="B7" s="485"/>
      <c r="C7" s="485"/>
      <c r="D7" s="485"/>
      <c r="E7" s="485"/>
      <c r="F7" s="485"/>
      <c r="G7" s="485"/>
      <c r="H7" s="485"/>
      <c r="I7" s="409" t="s">
        <v>251</v>
      </c>
      <c r="J7" s="468"/>
      <c r="K7" s="485"/>
      <c r="L7" s="485"/>
    </row>
    <row r="8" spans="1:12" ht="12.75">
      <c r="A8" s="485"/>
      <c r="B8" s="485"/>
      <c r="C8" s="485"/>
      <c r="D8" s="485"/>
      <c r="E8" s="485"/>
      <c r="F8" s="485"/>
      <c r="G8" s="485"/>
      <c r="H8" s="485"/>
      <c r="I8" s="385" t="s">
        <v>252</v>
      </c>
      <c r="J8" s="468"/>
      <c r="K8" s="485"/>
      <c r="L8" s="485"/>
    </row>
    <row r="9" spans="1:12" ht="13.5" thickBot="1">
      <c r="A9" s="447"/>
      <c r="B9" s="447"/>
      <c r="C9" s="447"/>
      <c r="D9" s="447"/>
      <c r="E9" s="447"/>
      <c r="F9" s="447"/>
      <c r="G9" s="447"/>
      <c r="H9" s="447"/>
      <c r="I9" s="386"/>
      <c r="J9" s="447"/>
      <c r="K9" s="447"/>
      <c r="L9" s="447"/>
    </row>
    <row r="10" spans="1:12" ht="12.75">
      <c r="A10" s="37" t="s">
        <v>0</v>
      </c>
      <c r="B10" s="59">
        <f>SUM(B12:B39)</f>
        <v>829006.7</v>
      </c>
      <c r="C10" s="57">
        <f>SUM(C12:C39)</f>
        <v>264295927126</v>
      </c>
      <c r="D10" s="60">
        <f>+C10/B10</f>
        <v>318810.3632045435</v>
      </c>
      <c r="E10" s="57">
        <f aca="true" t="shared" si="0" ref="E10:K10">SUM(E12:E39)</f>
        <v>4557049830</v>
      </c>
      <c r="F10" s="57">
        <f t="shared" si="0"/>
        <v>2268187646</v>
      </c>
      <c r="G10" s="57">
        <f t="shared" si="0"/>
        <v>2288862184</v>
      </c>
      <c r="H10" s="57">
        <f t="shared" si="0"/>
        <v>1002550962.5999999</v>
      </c>
      <c r="I10" s="57">
        <f t="shared" si="0"/>
        <v>2308296563.02</v>
      </c>
      <c r="J10" s="173">
        <f t="shared" si="0"/>
        <v>0</v>
      </c>
      <c r="K10" s="57">
        <f t="shared" si="0"/>
        <v>2308296562.52</v>
      </c>
      <c r="L10" s="61">
        <f>K10/B10</f>
        <v>2784.412432999637</v>
      </c>
    </row>
    <row r="11" spans="1:12" ht="12.75">
      <c r="A11" s="25"/>
      <c r="B11" s="27"/>
      <c r="C11" s="27"/>
      <c r="D11" s="33"/>
      <c r="E11" s="27"/>
      <c r="F11" s="21"/>
      <c r="G11" s="27"/>
      <c r="H11" s="27"/>
      <c r="I11" s="27"/>
      <c r="J11" s="27"/>
      <c r="K11" s="27"/>
      <c r="L11" s="22"/>
    </row>
    <row r="12" spans="1:12" ht="12.75">
      <c r="A12" s="25" t="s">
        <v>1</v>
      </c>
      <c r="B12" s="255">
        <v>9318.4</v>
      </c>
      <c r="C12" s="172">
        <v>1769230115</v>
      </c>
      <c r="D12" s="33">
        <f>+C12/B12</f>
        <v>189864.15210765798</v>
      </c>
      <c r="E12" s="114">
        <v>51223245</v>
      </c>
      <c r="F12" s="172">
        <v>15183533</v>
      </c>
      <c r="G12" s="27">
        <f>+E12-F12</f>
        <v>36039712</v>
      </c>
      <c r="H12" s="34">
        <f>E12*0.22</f>
        <v>11269113.9</v>
      </c>
      <c r="I12" s="250">
        <f>IF(G12&gt;H12,G12,H12)</f>
        <v>36039712</v>
      </c>
      <c r="J12" s="319">
        <v>0</v>
      </c>
      <c r="K12" s="35">
        <f>I12+J12</f>
        <v>36039712</v>
      </c>
      <c r="L12" s="22">
        <f>K12/B12</f>
        <v>3867.5858516483518</v>
      </c>
    </row>
    <row r="13" spans="1:12" ht="12.75">
      <c r="A13" s="25" t="s">
        <v>2</v>
      </c>
      <c r="B13" s="255">
        <v>71638.35</v>
      </c>
      <c r="C13" s="172">
        <v>28828353254</v>
      </c>
      <c r="D13" s="33">
        <f>+C13/B13</f>
        <v>402415.0926703365</v>
      </c>
      <c r="E13" s="114">
        <v>393796010</v>
      </c>
      <c r="F13" s="172">
        <v>247404928</v>
      </c>
      <c r="G13" s="27">
        <f>+E13-F13</f>
        <v>146391082</v>
      </c>
      <c r="H13" s="34">
        <f>E13*0.22</f>
        <v>86635122.2</v>
      </c>
      <c r="I13" s="250">
        <f>IF(G13&gt;H13,G13,H13)</f>
        <v>146391082</v>
      </c>
      <c r="J13" s="319">
        <v>0</v>
      </c>
      <c r="K13" s="35">
        <f>I13+J13</f>
        <v>146391082</v>
      </c>
      <c r="L13" s="22">
        <f>K13/B13</f>
        <v>2043.473670178054</v>
      </c>
    </row>
    <row r="14" spans="1:12" ht="12.75">
      <c r="A14" s="25" t="s">
        <v>3</v>
      </c>
      <c r="B14" s="255">
        <v>85656.5</v>
      </c>
      <c r="C14" s="172">
        <v>14576957098</v>
      </c>
      <c r="D14" s="33">
        <f>+C14/B14</f>
        <v>170179.22863997478</v>
      </c>
      <c r="E14" s="114">
        <v>470853781</v>
      </c>
      <c r="F14" s="172">
        <v>125099446</v>
      </c>
      <c r="G14" s="27">
        <f>+E14-F14</f>
        <v>345754335</v>
      </c>
      <c r="H14" s="34">
        <f>E14*0.22</f>
        <v>103587831.82000001</v>
      </c>
      <c r="I14" s="250">
        <f>IF(G14&gt;H14,G14,H14)</f>
        <v>345754335</v>
      </c>
      <c r="J14" s="319">
        <v>0</v>
      </c>
      <c r="K14" s="35">
        <f>I14+J14</f>
        <v>345754335</v>
      </c>
      <c r="L14" s="22">
        <f>K14/B14</f>
        <v>4036.521863489636</v>
      </c>
    </row>
    <row r="15" spans="1:12" ht="12.75">
      <c r="A15" s="25" t="s">
        <v>4</v>
      </c>
      <c r="B15" s="255">
        <v>102466.25</v>
      </c>
      <c r="C15" s="172">
        <v>34599593733</v>
      </c>
      <c r="D15" s="33">
        <f>+C15/B15</f>
        <v>337668.1954594806</v>
      </c>
      <c r="E15" s="114">
        <v>563256976</v>
      </c>
      <c r="F15" s="172">
        <v>296933713</v>
      </c>
      <c r="G15" s="27">
        <f>+E15-F15</f>
        <v>266323263</v>
      </c>
      <c r="H15" s="34">
        <f>E15*0.22</f>
        <v>123916534.72</v>
      </c>
      <c r="I15" s="250">
        <f>IF(G15&gt;H15,G15,H15)</f>
        <v>266323263</v>
      </c>
      <c r="J15" s="319">
        <v>0</v>
      </c>
      <c r="K15" s="35">
        <f>I15+J15</f>
        <v>266323263</v>
      </c>
      <c r="L15" s="22">
        <f>K15/B15</f>
        <v>2599.1315481926977</v>
      </c>
    </row>
    <row r="16" spans="1:12" ht="12.75">
      <c r="A16" s="25" t="s">
        <v>5</v>
      </c>
      <c r="B16" s="255">
        <v>16891.2</v>
      </c>
      <c r="C16" s="172">
        <v>4758231212</v>
      </c>
      <c r="D16" s="33">
        <f>+C16/B16</f>
        <v>281698.8261343184</v>
      </c>
      <c r="E16" s="114">
        <v>92850926</v>
      </c>
      <c r="F16" s="172">
        <v>40835140</v>
      </c>
      <c r="G16" s="27">
        <f>+E16-F16</f>
        <v>52015786</v>
      </c>
      <c r="H16" s="34">
        <f>E16*0.22</f>
        <v>20427203.72</v>
      </c>
      <c r="I16" s="250">
        <f>IF(G16&gt;H16,G16,H16)</f>
        <v>52015786</v>
      </c>
      <c r="J16" s="319">
        <v>0</v>
      </c>
      <c r="K16" s="35">
        <f>I16+J16</f>
        <v>52015786</v>
      </c>
      <c r="L16" s="22">
        <f>K16/B16</f>
        <v>3079.4606659088754</v>
      </c>
    </row>
    <row r="17" spans="1:12" ht="12.75">
      <c r="A17" s="25"/>
      <c r="C17" s="172"/>
      <c r="D17" s="257"/>
      <c r="E17" s="247"/>
      <c r="G17" s="27"/>
      <c r="H17" s="34"/>
      <c r="I17" s="251"/>
      <c r="J17" s="27"/>
      <c r="K17" s="27"/>
      <c r="L17" s="22"/>
    </row>
    <row r="18" spans="1:12" ht="12.75">
      <c r="A18" s="25" t="s">
        <v>6</v>
      </c>
      <c r="B18" s="255">
        <v>5106.4</v>
      </c>
      <c r="C18" s="172">
        <v>974983085</v>
      </c>
      <c r="D18" s="33">
        <f>+C18/B18</f>
        <v>190933.55103399657</v>
      </c>
      <c r="E18" s="114">
        <v>28069881</v>
      </c>
      <c r="F18" s="172">
        <v>8367305</v>
      </c>
      <c r="G18" s="27">
        <f>+E18-F18</f>
        <v>19702576</v>
      </c>
      <c r="H18" s="34">
        <f>E18*0.22</f>
        <v>6175373.82</v>
      </c>
      <c r="I18" s="252">
        <f>IF(G18&gt;H18,G18,H18)</f>
        <v>19702576</v>
      </c>
      <c r="J18" s="319">
        <v>0</v>
      </c>
      <c r="K18" s="35">
        <f>I18+J18</f>
        <v>19702576</v>
      </c>
      <c r="L18" s="22">
        <f>K18/B18</f>
        <v>3858.408271972427</v>
      </c>
    </row>
    <row r="19" spans="1:12" ht="12.75">
      <c r="A19" s="25" t="s">
        <v>7</v>
      </c>
      <c r="B19" s="255">
        <v>28204.85</v>
      </c>
      <c r="C19" s="172">
        <v>7696259089</v>
      </c>
      <c r="D19" s="33">
        <f>+C19/B19</f>
        <v>272870.0591919475</v>
      </c>
      <c r="E19" s="114">
        <v>155042060</v>
      </c>
      <c r="F19" s="172">
        <v>66049296</v>
      </c>
      <c r="G19" s="27">
        <f>+E19-F19</f>
        <v>88992764</v>
      </c>
      <c r="H19" s="34">
        <f>E19*0.22</f>
        <v>34109253.2</v>
      </c>
      <c r="I19" s="252">
        <f>IF(G19&gt;H19,G19,H19)</f>
        <v>88992764</v>
      </c>
      <c r="J19" s="319">
        <v>0</v>
      </c>
      <c r="K19" s="35">
        <f>I19+J19</f>
        <v>88992764</v>
      </c>
      <c r="L19" s="22">
        <f>K19/B19</f>
        <v>3155.2291183963043</v>
      </c>
    </row>
    <row r="20" spans="1:12" ht="12.75">
      <c r="A20" s="25" t="s">
        <v>8</v>
      </c>
      <c r="B20" s="255">
        <v>15812.05</v>
      </c>
      <c r="C20" s="172">
        <v>3825216427</v>
      </c>
      <c r="D20" s="33">
        <f>+C20/B20</f>
        <v>241917.8049019577</v>
      </c>
      <c r="E20" s="114">
        <v>86918839</v>
      </c>
      <c r="F20" s="172">
        <v>32828007</v>
      </c>
      <c r="G20" s="27">
        <f>+E20-F20</f>
        <v>54090832</v>
      </c>
      <c r="H20" s="34">
        <f>E20*0.22</f>
        <v>19122144.580000002</v>
      </c>
      <c r="I20" s="252">
        <f>IF(G20&gt;H20,G20,H20)</f>
        <v>54090832</v>
      </c>
      <c r="J20" s="319">
        <v>0</v>
      </c>
      <c r="K20" s="35">
        <f>I20+J20</f>
        <v>54090832</v>
      </c>
      <c r="L20" s="22">
        <f>K20/B20</f>
        <v>3420.861431629675</v>
      </c>
    </row>
    <row r="21" spans="1:12" ht="12.75">
      <c r="A21" s="25" t="s">
        <v>9</v>
      </c>
      <c r="B21" s="255">
        <v>24980.95</v>
      </c>
      <c r="C21" s="172">
        <v>6263875198</v>
      </c>
      <c r="D21" s="33">
        <f>+C21/B21</f>
        <v>250746.07643023983</v>
      </c>
      <c r="E21" s="114">
        <v>137320282</v>
      </c>
      <c r="F21" s="172">
        <v>53756577</v>
      </c>
      <c r="G21" s="27">
        <f>+E21-F21</f>
        <v>83563705</v>
      </c>
      <c r="H21" s="34">
        <f>E21*0.22</f>
        <v>30210462.04</v>
      </c>
      <c r="I21" s="252">
        <f>IF(G21&gt;H21,G21,H21)</f>
        <v>83563705</v>
      </c>
      <c r="J21" s="319">
        <v>0</v>
      </c>
      <c r="K21" s="35">
        <f>I21+J21</f>
        <v>83563705</v>
      </c>
      <c r="L21" s="22">
        <f>K21/B21</f>
        <v>3345.0971640389976</v>
      </c>
    </row>
    <row r="22" spans="1:12" ht="12.75">
      <c r="A22" s="25" t="s">
        <v>10</v>
      </c>
      <c r="B22" s="255">
        <v>4473.35</v>
      </c>
      <c r="C22" s="172">
        <v>1118758265</v>
      </c>
      <c r="D22" s="33">
        <f>+C22/B22</f>
        <v>250094.0603798048</v>
      </c>
      <c r="E22" s="114">
        <v>24590005</v>
      </c>
      <c r="F22" s="172">
        <v>9601183</v>
      </c>
      <c r="G22" s="27">
        <f>+E22-F22</f>
        <v>14988822</v>
      </c>
      <c r="H22" s="34">
        <f>E22*0.22</f>
        <v>5409801.1</v>
      </c>
      <c r="I22" s="252">
        <f>IF(G22&gt;H22,G22,H22)</f>
        <v>14988822</v>
      </c>
      <c r="J22" s="319">
        <v>0</v>
      </c>
      <c r="K22" s="35">
        <f>I22+J22</f>
        <v>14988822</v>
      </c>
      <c r="L22" s="22">
        <f>K22/B22</f>
        <v>3350.692881174064</v>
      </c>
    </row>
    <row r="23" spans="1:12" ht="12.75">
      <c r="A23" s="25"/>
      <c r="B23" s="256"/>
      <c r="C23" s="172"/>
      <c r="D23" s="33"/>
      <c r="E23" s="247"/>
      <c r="F23" s="248"/>
      <c r="G23" s="27"/>
      <c r="H23" s="34"/>
      <c r="I23" s="253"/>
      <c r="J23" s="27"/>
      <c r="K23" s="27"/>
      <c r="L23" s="22"/>
    </row>
    <row r="24" spans="1:12" ht="12.75">
      <c r="A24" s="25" t="s">
        <v>11</v>
      </c>
      <c r="B24" s="255">
        <v>38198.6</v>
      </c>
      <c r="C24" s="172">
        <v>10599468111</v>
      </c>
      <c r="D24" s="33">
        <f>+C24/B24</f>
        <v>277483.15673872863</v>
      </c>
      <c r="E24" s="114">
        <v>209977704</v>
      </c>
      <c r="F24" s="172">
        <v>90964635</v>
      </c>
      <c r="G24" s="27">
        <f>+E24-F24</f>
        <v>119013069</v>
      </c>
      <c r="H24" s="34">
        <f>E24*0.22</f>
        <v>46195094.88</v>
      </c>
      <c r="I24" s="252">
        <f>IF(G24&gt;H24,G24,H24)</f>
        <v>119013069</v>
      </c>
      <c r="J24" s="319">
        <v>0</v>
      </c>
      <c r="K24" s="35">
        <f>I24+J24</f>
        <v>119013069</v>
      </c>
      <c r="L24" s="22">
        <f>K24/B24</f>
        <v>3115.639552234899</v>
      </c>
    </row>
    <row r="25" spans="1:12" ht="12.75">
      <c r="A25" s="25" t="s">
        <v>12</v>
      </c>
      <c r="B25" s="255">
        <v>4566</v>
      </c>
      <c r="C25" s="172">
        <v>1345338861</v>
      </c>
      <c r="D25" s="33">
        <f>+C25/B25</f>
        <v>294642.7641261498</v>
      </c>
      <c r="E25" s="114">
        <v>25099302</v>
      </c>
      <c r="F25" s="172">
        <v>11545698</v>
      </c>
      <c r="G25" s="27">
        <f>+E25-F25</f>
        <v>13553604</v>
      </c>
      <c r="H25" s="34">
        <f>E25*0.22</f>
        <v>5521846.44</v>
      </c>
      <c r="I25" s="252">
        <f>IF(G25&gt;H25,G25,H25)</f>
        <v>13553604</v>
      </c>
      <c r="J25" s="319">
        <v>0</v>
      </c>
      <c r="K25" s="35">
        <f>I25+J25</f>
        <v>13553604</v>
      </c>
      <c r="L25" s="22">
        <f>K25/B25</f>
        <v>2968.375821287779</v>
      </c>
    </row>
    <row r="26" spans="1:12" ht="12.75">
      <c r="A26" s="25" t="s">
        <v>13</v>
      </c>
      <c r="B26" s="255">
        <v>38800.55</v>
      </c>
      <c r="C26" s="172">
        <v>10392020880</v>
      </c>
      <c r="D26" s="33">
        <f>+C26/B26</f>
        <v>267831.79310602555</v>
      </c>
      <c r="E26" s="114">
        <v>213286623</v>
      </c>
      <c r="F26" s="172">
        <v>89184323</v>
      </c>
      <c r="G26" s="27">
        <f>+E26-F26</f>
        <v>124102300</v>
      </c>
      <c r="H26" s="34">
        <f>E26*0.22</f>
        <v>46923057.06</v>
      </c>
      <c r="I26" s="252">
        <f>IF(G26&gt;H26,G26,H26)</f>
        <v>124102300</v>
      </c>
      <c r="J26" s="319">
        <v>0</v>
      </c>
      <c r="K26" s="35">
        <f>I26+J26</f>
        <v>124102300</v>
      </c>
      <c r="L26" s="22">
        <f>K26/B26</f>
        <v>3198.467547496105</v>
      </c>
    </row>
    <row r="27" spans="1:12" ht="12.75">
      <c r="A27" s="25" t="s">
        <v>14</v>
      </c>
      <c r="B27" s="255">
        <v>46916.5</v>
      </c>
      <c r="C27" s="172">
        <v>17499005649</v>
      </c>
      <c r="D27" s="33">
        <f>+C27/B27</f>
        <v>372981.9071968284</v>
      </c>
      <c r="E27" s="114">
        <v>257900001</v>
      </c>
      <c r="F27" s="172">
        <v>150176466</v>
      </c>
      <c r="G27" s="27">
        <f>+E27-F27</f>
        <v>107723535</v>
      </c>
      <c r="H27" s="34">
        <f>E27*0.22</f>
        <v>56738000.22</v>
      </c>
      <c r="I27" s="252">
        <f>IF(G27&gt;H27,G27,H27)</f>
        <v>107723535</v>
      </c>
      <c r="J27" s="319">
        <v>0</v>
      </c>
      <c r="K27" s="35">
        <f>I27+J27</f>
        <v>107723535</v>
      </c>
      <c r="L27" s="22">
        <f>K27/B27</f>
        <v>2296.0692933189816</v>
      </c>
    </row>
    <row r="28" spans="1:12" ht="12.75">
      <c r="A28" s="25" t="s">
        <v>15</v>
      </c>
      <c r="B28" s="255">
        <v>2359.8</v>
      </c>
      <c r="C28" s="172">
        <v>954181970</v>
      </c>
      <c r="D28" s="33">
        <f>+C28/B28</f>
        <v>404348.66090346634</v>
      </c>
      <c r="E28" s="114">
        <v>12971821</v>
      </c>
      <c r="F28" s="172">
        <v>8188790</v>
      </c>
      <c r="G28" s="27">
        <f>+E28-F28</f>
        <v>4783031</v>
      </c>
      <c r="H28" s="34">
        <f>E28*0.22</f>
        <v>2853800.62</v>
      </c>
      <c r="I28" s="252">
        <f>IF(G28&gt;H28,G28,H28)</f>
        <v>4783031</v>
      </c>
      <c r="J28" s="319">
        <v>0</v>
      </c>
      <c r="K28" s="35">
        <f>I28+J28</f>
        <v>4783031</v>
      </c>
      <c r="L28" s="22">
        <f>K28/B28</f>
        <v>2026.8798203237561</v>
      </c>
    </row>
    <row r="29" spans="1:12" ht="12.75">
      <c r="A29" s="25"/>
      <c r="C29" s="172"/>
      <c r="D29" s="33"/>
      <c r="E29" s="247"/>
      <c r="F29" s="248"/>
      <c r="G29" s="27"/>
      <c r="H29" s="34"/>
      <c r="I29" s="251"/>
      <c r="J29" s="27"/>
      <c r="K29" s="27"/>
      <c r="L29" s="22"/>
    </row>
    <row r="30" spans="1:12" ht="12.75">
      <c r="A30" s="25" t="s">
        <v>16</v>
      </c>
      <c r="B30" s="255">
        <v>134431.85</v>
      </c>
      <c r="C30" s="172">
        <v>65953256690</v>
      </c>
      <c r="D30" s="33">
        <f>+C30/B30</f>
        <v>490607.37236004707</v>
      </c>
      <c r="E30" s="114">
        <v>738971879</v>
      </c>
      <c r="F30" s="172">
        <v>566010849</v>
      </c>
      <c r="G30" s="27">
        <f>+E30-F30</f>
        <v>172961030</v>
      </c>
      <c r="H30" s="34">
        <f>E30*0.22</f>
        <v>162573813.38</v>
      </c>
      <c r="I30" s="252">
        <f>IF(G30&gt;H30,G30,H30)</f>
        <v>172961030</v>
      </c>
      <c r="J30" s="319">
        <v>0</v>
      </c>
      <c r="K30" s="35">
        <f>I30+J30</f>
        <v>172961030</v>
      </c>
      <c r="L30" s="22">
        <f>K30/B30</f>
        <v>1286.607526415801</v>
      </c>
    </row>
    <row r="31" spans="1:12" ht="12.75">
      <c r="A31" s="25" t="s">
        <v>17</v>
      </c>
      <c r="B31" s="255">
        <v>129321.1</v>
      </c>
      <c r="C31" s="172">
        <v>30417435593</v>
      </c>
      <c r="D31" s="33">
        <f>+C31/B31</f>
        <v>235208.60550211836</v>
      </c>
      <c r="E31" s="114">
        <v>710878087</v>
      </c>
      <c r="F31" s="172">
        <v>261042432</v>
      </c>
      <c r="G31" s="27">
        <f>+E31-F31</f>
        <v>449835655</v>
      </c>
      <c r="H31" s="34">
        <f>E31*0.22</f>
        <v>156393179.14000002</v>
      </c>
      <c r="I31" s="252">
        <f>IF(G31&gt;H31,G31,H31)-0.5</f>
        <v>449835654.5</v>
      </c>
      <c r="J31" s="319">
        <v>0</v>
      </c>
      <c r="K31" s="35">
        <f>I31+J31-0.5</f>
        <v>449835654</v>
      </c>
      <c r="L31" s="22">
        <f>K31/B31</f>
        <v>3478.439744171678</v>
      </c>
    </row>
    <row r="32" spans="1:12" ht="12.75">
      <c r="A32" s="25" t="s">
        <v>18</v>
      </c>
      <c r="B32" s="255">
        <v>7226.6</v>
      </c>
      <c r="C32" s="172">
        <v>2649534513</v>
      </c>
      <c r="D32" s="33">
        <f>+C32/B32</f>
        <v>366636.3868209116</v>
      </c>
      <c r="E32" s="114">
        <v>39724620</v>
      </c>
      <c r="F32" s="172">
        <v>22738305</v>
      </c>
      <c r="G32" s="27">
        <f>+E32-F32</f>
        <v>16986315</v>
      </c>
      <c r="H32" s="34">
        <f>E32*0.22</f>
        <v>8739416.4</v>
      </c>
      <c r="I32" s="252">
        <f>IF(G32&gt;H32,G32,H32)</f>
        <v>16986315</v>
      </c>
      <c r="J32" s="319">
        <v>0</v>
      </c>
      <c r="K32" s="35">
        <f>I32+J32</f>
        <v>16986315</v>
      </c>
      <c r="L32" s="22">
        <f>K32/B32</f>
        <v>2350.5265269974816</v>
      </c>
    </row>
    <row r="33" spans="1:12" ht="12.75">
      <c r="A33" s="25" t="s">
        <v>19</v>
      </c>
      <c r="B33" s="255">
        <v>15629.3</v>
      </c>
      <c r="C33" s="172">
        <v>3995352835</v>
      </c>
      <c r="D33" s="33">
        <f>+C33/B33</f>
        <v>255632.231449905</v>
      </c>
      <c r="E33" s="114">
        <v>85914262</v>
      </c>
      <c r="F33" s="172">
        <v>34288118</v>
      </c>
      <c r="G33" s="27">
        <f>+E33-F33</f>
        <v>51626144</v>
      </c>
      <c r="H33" s="34">
        <f>E33*0.22</f>
        <v>18901137.64</v>
      </c>
      <c r="I33" s="252">
        <f>IF(G33&gt;H33,G33,H33)</f>
        <v>51626144</v>
      </c>
      <c r="J33" s="319">
        <v>0</v>
      </c>
      <c r="K33" s="35">
        <f>I33+J33</f>
        <v>51626144</v>
      </c>
      <c r="L33" s="22">
        <f>K33/B33</f>
        <v>3303.164185216229</v>
      </c>
    </row>
    <row r="34" spans="1:12" ht="12.75">
      <c r="A34" s="25" t="s">
        <v>20</v>
      </c>
      <c r="B34" s="255">
        <v>2748.75</v>
      </c>
      <c r="C34" s="172">
        <v>533176739</v>
      </c>
      <c r="D34" s="33">
        <f>+C34/B34</f>
        <v>193970.6190086403</v>
      </c>
      <c r="E34" s="114">
        <v>15109879</v>
      </c>
      <c r="F34" s="172">
        <v>4575723</v>
      </c>
      <c r="G34" s="27">
        <f>+E34-F34</f>
        <v>10534156</v>
      </c>
      <c r="H34" s="34">
        <f>E34*0.22</f>
        <v>3324173.38</v>
      </c>
      <c r="I34" s="252">
        <f>IF(G34&gt;H34,G34,H34)</f>
        <v>10534156</v>
      </c>
      <c r="J34" s="319">
        <v>0</v>
      </c>
      <c r="K34" s="35">
        <f>I34+J34</f>
        <v>10534156</v>
      </c>
      <c r="L34" s="22">
        <f>K34/B34</f>
        <v>3832.344156434743</v>
      </c>
    </row>
    <row r="35" spans="1:12" ht="12.75">
      <c r="A35" s="25"/>
      <c r="C35" s="172"/>
      <c r="D35" s="33"/>
      <c r="E35" s="247"/>
      <c r="F35" s="248"/>
      <c r="G35" s="27"/>
      <c r="H35" s="34"/>
      <c r="I35" s="253"/>
      <c r="J35" s="27"/>
      <c r="K35" s="27"/>
      <c r="L35" s="22"/>
    </row>
    <row r="36" spans="1:12" ht="12.75">
      <c r="A36" s="25" t="s">
        <v>21</v>
      </c>
      <c r="B36" s="255">
        <v>4276.9</v>
      </c>
      <c r="C36" s="172">
        <v>2759570439</v>
      </c>
      <c r="D36" s="33">
        <f>+C36/B36</f>
        <v>645226.7855222241</v>
      </c>
      <c r="E36" s="114">
        <v>23510119</v>
      </c>
      <c r="F36" s="172">
        <v>23682634</v>
      </c>
      <c r="G36" s="27">
        <f>+E36-F36</f>
        <v>-172515</v>
      </c>
      <c r="H36" s="34">
        <f>E36*0.22</f>
        <v>5172226.18</v>
      </c>
      <c r="I36" s="252">
        <f>IF(G36&gt;H36,G36,H36)</f>
        <v>5172226.18</v>
      </c>
      <c r="J36" s="319">
        <v>0</v>
      </c>
      <c r="K36" s="35">
        <f>I36+J36</f>
        <v>5172226.18</v>
      </c>
      <c r="L36" s="22">
        <f>K36/B36</f>
        <v>1209.339984568262</v>
      </c>
    </row>
    <row r="37" spans="1:12" ht="12.75">
      <c r="A37" s="25" t="s">
        <v>22</v>
      </c>
      <c r="B37" s="255">
        <v>20035.5</v>
      </c>
      <c r="C37" s="172">
        <v>5026761830</v>
      </c>
      <c r="D37" s="33">
        <f>+C37/B37</f>
        <v>250892.75685657957</v>
      </c>
      <c r="E37" s="114">
        <v>110135144</v>
      </c>
      <c r="F37" s="172">
        <v>43139670</v>
      </c>
      <c r="G37" s="27">
        <f>+E37-F37</f>
        <v>66995474</v>
      </c>
      <c r="H37" s="34">
        <f>E37*0.22</f>
        <v>24229731.68</v>
      </c>
      <c r="I37" s="252">
        <f>IF(G37&gt;H37,G37,H37)</f>
        <v>66995474</v>
      </c>
      <c r="J37" s="319">
        <v>0</v>
      </c>
      <c r="K37" s="35">
        <f>I37+J37</f>
        <v>66995474</v>
      </c>
      <c r="L37" s="22">
        <f>K37/B37</f>
        <v>3343.8383868633177</v>
      </c>
    </row>
    <row r="38" spans="1:12" ht="12.75">
      <c r="A38" s="25" t="s">
        <v>23</v>
      </c>
      <c r="B38" s="255">
        <v>13587.7</v>
      </c>
      <c r="C38" s="172">
        <v>2940449146</v>
      </c>
      <c r="D38" s="33">
        <f>+C38/B38</f>
        <v>216405.21545221045</v>
      </c>
      <c r="E38" s="114">
        <v>74691587</v>
      </c>
      <c r="F38" s="172">
        <v>25234935</v>
      </c>
      <c r="G38" s="27">
        <f>+E38-F38</f>
        <v>49456652</v>
      </c>
      <c r="H38" s="34">
        <f>E38*0.22</f>
        <v>16432149.14</v>
      </c>
      <c r="I38" s="252">
        <f>IF(G38&gt;H38,G38,H38)</f>
        <v>49456652</v>
      </c>
      <c r="J38" s="319">
        <v>0</v>
      </c>
      <c r="K38" s="35">
        <f>I38+J38</f>
        <v>49456652</v>
      </c>
      <c r="L38" s="22">
        <f>K38/B38</f>
        <v>3639.810416773994</v>
      </c>
    </row>
    <row r="39" spans="1:12" ht="12.75">
      <c r="A39" s="25" t="s">
        <v>24</v>
      </c>
      <c r="B39" s="255">
        <v>6359.25</v>
      </c>
      <c r="C39" s="172">
        <v>4818916394</v>
      </c>
      <c r="D39" s="33">
        <f>+C39/B39</f>
        <v>757780.6178401541</v>
      </c>
      <c r="E39" s="114">
        <v>34956797</v>
      </c>
      <c r="F39" s="172">
        <v>41355940</v>
      </c>
      <c r="G39" s="249">
        <f>+E39-F39</f>
        <v>-6399143</v>
      </c>
      <c r="H39" s="249">
        <f>E39*0.22</f>
        <v>7690495.34</v>
      </c>
      <c r="I39" s="254">
        <f>IF(G39&gt;H39,G39,H39)</f>
        <v>7690495.34</v>
      </c>
      <c r="J39" s="319">
        <v>0</v>
      </c>
      <c r="K39" s="35">
        <f>I39+J39</f>
        <v>7690495.34</v>
      </c>
      <c r="L39" s="22">
        <f>K39/B39</f>
        <v>1209.3399913511814</v>
      </c>
    </row>
    <row r="40" spans="1:12" ht="12.75">
      <c r="A40" s="28" t="s">
        <v>124</v>
      </c>
      <c r="B40" s="29"/>
      <c r="C40" s="29"/>
      <c r="D40" s="29"/>
      <c r="E40" s="29"/>
      <c r="F40" s="29"/>
      <c r="G40" s="29"/>
      <c r="H40" s="119"/>
      <c r="J40" s="29"/>
      <c r="K40" s="29"/>
      <c r="L40" s="29"/>
    </row>
    <row r="41" spans="1:12" ht="12.75">
      <c r="A41" s="25" t="s">
        <v>125</v>
      </c>
      <c r="B41" s="27"/>
      <c r="C41" s="25"/>
      <c r="D41" s="25"/>
      <c r="E41" s="25"/>
      <c r="F41" s="25"/>
      <c r="G41" s="25"/>
      <c r="H41" s="25"/>
      <c r="J41" s="25"/>
      <c r="K41" s="25"/>
      <c r="L41" s="25"/>
    </row>
    <row r="42" spans="1:12" ht="12.75">
      <c r="A42" s="25"/>
      <c r="B42" s="27"/>
      <c r="C42" s="27"/>
      <c r="D42" s="27"/>
      <c r="E42" s="27"/>
      <c r="F42" s="27"/>
      <c r="G42" s="27"/>
      <c r="H42" s="27"/>
      <c r="J42" s="27"/>
      <c r="K42" s="27"/>
      <c r="L42" s="27"/>
    </row>
    <row r="43" spans="1:12" ht="12.75">
      <c r="A43" s="25" t="s">
        <v>355</v>
      </c>
      <c r="B43" s="27"/>
      <c r="C43" s="27"/>
      <c r="D43" s="27"/>
      <c r="E43" s="27"/>
      <c r="F43" s="27"/>
      <c r="G43" s="27"/>
      <c r="H43" s="27"/>
      <c r="I43" s="118"/>
      <c r="J43" s="27"/>
      <c r="K43" s="27"/>
      <c r="L43" s="27"/>
    </row>
    <row r="44" spans="1:12" ht="12.75">
      <c r="A44" s="25"/>
      <c r="B44" s="27"/>
      <c r="C44" s="27"/>
      <c r="D44" s="27"/>
      <c r="E44" s="27"/>
      <c r="F44" s="27"/>
      <c r="G44" s="27"/>
      <c r="H44" s="27"/>
      <c r="I44" s="118"/>
      <c r="J44" s="27"/>
      <c r="K44" s="27"/>
      <c r="L44" s="27"/>
    </row>
    <row r="45" spans="1:12" ht="12.75">
      <c r="A45" s="25" t="s">
        <v>272</v>
      </c>
      <c r="B45" s="27"/>
      <c r="C45" s="27"/>
      <c r="D45" s="27"/>
      <c r="E45" s="27"/>
      <c r="F45" s="27"/>
      <c r="G45" s="27"/>
      <c r="H45" s="27"/>
      <c r="I45" s="120"/>
      <c r="J45" s="27"/>
      <c r="K45" s="27"/>
      <c r="L45" s="27"/>
    </row>
    <row r="46" spans="1:12" ht="12.75">
      <c r="A46" s="25" t="s">
        <v>273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2.75">
      <c r="A47" s="25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2.75">
      <c r="A48" s="25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2.75">
      <c r="A49" s="25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12.75">
      <c r="A50" s="25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2.75">
      <c r="A51" s="25"/>
      <c r="B51" s="27"/>
      <c r="C51" s="27"/>
      <c r="D51" s="27"/>
      <c r="E51" s="27"/>
      <c r="F51" s="30"/>
      <c r="G51" s="27"/>
      <c r="H51" s="27"/>
      <c r="I51" s="27"/>
      <c r="J51" s="27"/>
      <c r="K51" s="27"/>
      <c r="L51" s="27"/>
    </row>
    <row r="52" spans="1:12" ht="12.75">
      <c r="A52" s="25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2.75">
      <c r="A53" s="2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.75">
      <c r="A54" s="25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2.75">
      <c r="A55" s="25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2.75">
      <c r="A56" s="25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2.75">
      <c r="A57" s="25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2.75">
      <c r="A58" s="2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12.75">
      <c r="A59" s="25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2.75">
      <c r="A60" s="2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12.75">
      <c r="A61" s="25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2.75">
      <c r="A62" s="2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12.75">
      <c r="A63" s="25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2.75">
      <c r="A64" s="25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>
      <c r="A65" s="2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2.75">
      <c r="A66" s="25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2.75">
      <c r="A67" s="2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2.75">
      <c r="A68" s="2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>
      <c r="A69" s="2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12.75">
      <c r="A70" s="2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2.75">
      <c r="A71" s="2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25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ht="12.75">
      <c r="A73" s="25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2.75">
      <c r="A74" s="25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2:12" ht="12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2:12" ht="12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2:12" ht="12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ht="12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ht="12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2:12" ht="12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2:12" ht="12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 ht="12.7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2:12" ht="12.7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 ht="12.7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2:12" ht="12.7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2:12" ht="12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2:12" ht="12.7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2:12" ht="12.7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2:12" ht="12.7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2:12" ht="12.7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2:12" ht="12.7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2:12" ht="12.7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2:12" ht="12.7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2:12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2:12" ht="12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2:12" ht="12.7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2:12" ht="12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2:12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2:12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2:12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2:12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2:12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2:12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2:12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2:12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2:12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</sheetData>
  <sheetProtection password="CAF5" sheet="1" objects="1" scenarios="1"/>
  <mergeCells count="12">
    <mergeCell ref="D5:D9"/>
    <mergeCell ref="C5:C9"/>
    <mergeCell ref="B5:B9"/>
    <mergeCell ref="A5:A9"/>
    <mergeCell ref="G5:L5"/>
    <mergeCell ref="J6:J9"/>
    <mergeCell ref="E5:E9"/>
    <mergeCell ref="F5:F9"/>
    <mergeCell ref="G6:G9"/>
    <mergeCell ref="H6:H9"/>
    <mergeCell ref="K6:K9"/>
    <mergeCell ref="L6:L9"/>
  </mergeCells>
  <printOptions horizontalCentered="1"/>
  <pageMargins left="0.61" right="0.75" top="0.83" bottom="1" header="0.67" footer="0.5"/>
  <pageSetup fitToHeight="1" fitToWidth="1" horizontalDpi="600" verticalDpi="600" orientation="landscape" scale="70" r:id="rId1"/>
  <headerFooter alignWithMargins="0">
    <oddFooter>&amp;L&amp;"Arial,Italic"&amp;9MSDE-DBS  10 / 2007&amp;C- 18 -&amp;R&amp;"Arial,Italic"&amp;9Selected Financial Data-Part 1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workbookViewId="0" topLeftCell="A10">
      <selection activeCell="D23" sqref="D23"/>
    </sheetView>
  </sheetViews>
  <sheetFormatPr defaultColWidth="9.140625" defaultRowHeight="12.75"/>
  <cols>
    <col min="1" max="1" width="21.57421875" style="26" customWidth="1"/>
    <col min="2" max="2" width="14.7109375" style="26" customWidth="1"/>
    <col min="3" max="3" width="13.57421875" style="26" customWidth="1"/>
    <col min="4" max="4" width="15.28125" style="26" customWidth="1"/>
    <col min="5" max="5" width="17.421875" style="26" customWidth="1"/>
    <col min="6" max="6" width="15.28125" style="26" customWidth="1"/>
    <col min="7" max="7" width="12.8515625" style="26" customWidth="1"/>
    <col min="8" max="8" width="12.28125" style="26" customWidth="1"/>
    <col min="9" max="9" width="13.00390625" style="26" customWidth="1"/>
    <col min="10" max="10" width="11.421875" style="26" customWidth="1"/>
    <col min="11" max="11" width="13.28125" style="26" customWidth="1"/>
    <col min="12" max="12" width="14.57421875" style="26" customWidth="1"/>
    <col min="13" max="16384" width="11.421875" style="26" customWidth="1"/>
  </cols>
  <sheetData>
    <row r="1" spans="1:13" ht="12.75">
      <c r="A1" s="24" t="s">
        <v>117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</row>
    <row r="3" spans="1:13" ht="12.75">
      <c r="A3" s="24" t="s">
        <v>356</v>
      </c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</row>
    <row r="4" spans="1:13" ht="12.75">
      <c r="A4" s="24"/>
      <c r="B4" s="24"/>
      <c r="C4" s="24"/>
      <c r="D4" s="24"/>
      <c r="E4" s="24"/>
      <c r="F4" s="24"/>
      <c r="G4" s="24"/>
      <c r="H4" s="24"/>
      <c r="I4" s="24"/>
      <c r="J4" s="25"/>
      <c r="K4" s="25"/>
      <c r="L4" s="25"/>
      <c r="M4" s="25"/>
    </row>
    <row r="5" spans="1:13" ht="13.5" thickBot="1">
      <c r="A5" s="51"/>
      <c r="B5" s="51"/>
      <c r="C5" s="51"/>
      <c r="D5" s="51"/>
      <c r="E5" s="51"/>
      <c r="F5" s="51"/>
      <c r="G5" s="51"/>
      <c r="H5" s="51"/>
      <c r="I5" s="51"/>
      <c r="J5" s="25"/>
      <c r="K5" s="25"/>
      <c r="L5" s="25"/>
      <c r="M5" s="25"/>
    </row>
    <row r="6" spans="1:13" ht="13.5" customHeight="1" thickTop="1">
      <c r="A6" s="25" t="s">
        <v>99</v>
      </c>
      <c r="B6" s="529" t="s">
        <v>322</v>
      </c>
      <c r="C6" s="201" t="s">
        <v>253</v>
      </c>
      <c r="D6" s="532" t="s">
        <v>215</v>
      </c>
      <c r="E6" s="532" t="s">
        <v>246</v>
      </c>
      <c r="F6" s="529" t="s">
        <v>269</v>
      </c>
      <c r="G6" s="532" t="s">
        <v>216</v>
      </c>
      <c r="H6" s="532" t="s">
        <v>247</v>
      </c>
      <c r="I6" s="532" t="s">
        <v>217</v>
      </c>
      <c r="J6" s="25"/>
      <c r="K6" s="25"/>
      <c r="L6" s="25"/>
      <c r="M6" s="25"/>
    </row>
    <row r="7" spans="1:13" ht="12.75">
      <c r="A7" s="37" t="s">
        <v>41</v>
      </c>
      <c r="B7" s="531"/>
      <c r="C7" s="497" t="s">
        <v>268</v>
      </c>
      <c r="D7" s="497"/>
      <c r="E7" s="497"/>
      <c r="F7" s="530"/>
      <c r="G7" s="497"/>
      <c r="H7" s="498"/>
      <c r="I7" s="497"/>
      <c r="J7" s="25"/>
      <c r="K7" s="25"/>
      <c r="L7" s="25"/>
      <c r="M7" s="25"/>
    </row>
    <row r="8" spans="1:13" ht="12.75">
      <c r="A8" s="37"/>
      <c r="B8" s="531"/>
      <c r="C8" s="498"/>
      <c r="D8" s="498"/>
      <c r="E8" s="498"/>
      <c r="F8" s="530"/>
      <c r="G8" s="498"/>
      <c r="H8" s="498"/>
      <c r="I8" s="497"/>
      <c r="J8" s="25"/>
      <c r="K8" s="25"/>
      <c r="L8" s="25"/>
      <c r="M8" s="25"/>
    </row>
    <row r="9" spans="1:13" ht="13.5" thickBot="1">
      <c r="A9" s="58" t="s">
        <v>143</v>
      </c>
      <c r="B9" s="462"/>
      <c r="C9" s="55" t="s">
        <v>118</v>
      </c>
      <c r="D9" s="55" t="s">
        <v>119</v>
      </c>
      <c r="E9" s="86" t="s">
        <v>270</v>
      </c>
      <c r="F9" s="447"/>
      <c r="G9" s="86" t="s">
        <v>271</v>
      </c>
      <c r="H9" s="499"/>
      <c r="I9" s="499"/>
      <c r="J9" s="25"/>
      <c r="K9" s="25"/>
      <c r="L9" s="25"/>
      <c r="M9" s="25"/>
    </row>
    <row r="10" spans="1:13" ht="12.75">
      <c r="A10" s="37" t="s">
        <v>0</v>
      </c>
      <c r="B10" s="56">
        <f>SUM(B12:B39)</f>
        <v>265712</v>
      </c>
      <c r="C10" s="57">
        <f>SUM(C12:C39)</f>
        <v>580846432</v>
      </c>
      <c r="D10" s="27">
        <f>table9!D10</f>
        <v>318810.3632045435</v>
      </c>
      <c r="E10" s="57">
        <f>SUM(E12:E39)</f>
        <v>747909274.1958826</v>
      </c>
      <c r="F10" s="57">
        <f>SUM(F12:F39)</f>
        <v>580846460.5999985</v>
      </c>
      <c r="G10" s="57">
        <f>SUM(G12:G39)</f>
        <v>406592502.8</v>
      </c>
      <c r="H10" s="57">
        <f>SUM(H12:H39)</f>
        <v>18475767.760428607</v>
      </c>
      <c r="I10" s="57">
        <f>SUM(I12:I39)+0.5</f>
        <v>599322228.8604271</v>
      </c>
      <c r="J10" s="25"/>
      <c r="K10" s="25"/>
      <c r="L10" s="25"/>
      <c r="M10" s="25"/>
    </row>
    <row r="11" spans="1:13" ht="12.75">
      <c r="A11" s="25"/>
      <c r="B11" s="27"/>
      <c r="C11" s="27"/>
      <c r="D11" s="27"/>
      <c r="E11" s="27"/>
      <c r="F11" s="27"/>
      <c r="G11" s="27"/>
      <c r="H11" s="27"/>
      <c r="I11" s="27"/>
      <c r="J11" s="25"/>
      <c r="K11" s="25"/>
      <c r="L11" s="25"/>
      <c r="M11" s="25"/>
    </row>
    <row r="12" spans="1:13" ht="12.75">
      <c r="A12" s="25" t="s">
        <v>1</v>
      </c>
      <c r="B12" s="258">
        <v>4615</v>
      </c>
      <c r="C12" s="27">
        <f>+B12*2186</f>
        <v>10088390</v>
      </c>
      <c r="D12" s="27">
        <f>table9!D12</f>
        <v>189864.15210765798</v>
      </c>
      <c r="E12" s="27">
        <f>C12/(D12/318810)+13</f>
        <v>16939912.292185947</v>
      </c>
      <c r="F12" s="27">
        <f>E12*0.7766269-0.5</f>
        <v>13155991.069752267</v>
      </c>
      <c r="G12" s="27">
        <f>C12*70%</f>
        <v>7061873</v>
      </c>
      <c r="H12" s="205">
        <f>IF(F12&gt;G12,0,(G12-F12))</f>
        <v>0</v>
      </c>
      <c r="I12" s="27">
        <f>MAX(F12,G12)</f>
        <v>13155991.069752267</v>
      </c>
      <c r="J12" s="32"/>
      <c r="K12" s="35"/>
      <c r="L12" s="27"/>
      <c r="M12" s="25"/>
    </row>
    <row r="13" spans="1:13" ht="12.75">
      <c r="A13" s="25" t="s">
        <v>2</v>
      </c>
      <c r="B13" s="258">
        <v>13057</v>
      </c>
      <c r="C13" s="27">
        <f aca="true" t="shared" si="0" ref="C13:C39">+B13*2186</f>
        <v>28542602</v>
      </c>
      <c r="D13" s="27">
        <f>table9!D13</f>
        <v>402415.0926703365</v>
      </c>
      <c r="E13" s="27">
        <f>C13/(D13/318810)+6</f>
        <v>22612644.316412657</v>
      </c>
      <c r="F13" s="27">
        <f>E13*0.7766269+0.5</f>
        <v>17561588.35625818</v>
      </c>
      <c r="G13" s="27">
        <f>C13*70%</f>
        <v>19979821.4</v>
      </c>
      <c r="H13" s="56">
        <f>IF(F13&gt;G13,0,(G13-F13))</f>
        <v>2418233.0437418185</v>
      </c>
      <c r="I13" s="27">
        <f>MAX(F13,G13)</f>
        <v>19979821.4</v>
      </c>
      <c r="J13" s="25"/>
      <c r="K13" s="35"/>
      <c r="L13" s="27"/>
      <c r="M13" s="25"/>
    </row>
    <row r="14" spans="1:13" ht="12.75">
      <c r="A14" s="25" t="s">
        <v>3</v>
      </c>
      <c r="B14" s="258">
        <v>62932</v>
      </c>
      <c r="C14" s="27">
        <f t="shared" si="0"/>
        <v>137569352</v>
      </c>
      <c r="D14" s="27">
        <f>table9!D14</f>
        <v>170179.22863997478</v>
      </c>
      <c r="E14" s="27">
        <f>C14/(D14/318810)+357</f>
        <v>257719735.9255296</v>
      </c>
      <c r="F14" s="27">
        <f>E14*0.7766269</f>
        <v>200152079.5806627</v>
      </c>
      <c r="G14" s="27">
        <f>C14*70%</f>
        <v>96298546.39999999</v>
      </c>
      <c r="H14" s="56">
        <f>IF(F14&gt;G14,0,(G14-F14))</f>
        <v>0</v>
      </c>
      <c r="I14" s="27">
        <f>MAX(F14,G14)</f>
        <v>200152079.5806627</v>
      </c>
      <c r="J14" s="25"/>
      <c r="K14" s="35"/>
      <c r="L14" s="27"/>
      <c r="M14" s="25"/>
    </row>
    <row r="15" spans="1:13" ht="12.75">
      <c r="A15" s="25" t="s">
        <v>4</v>
      </c>
      <c r="B15" s="27">
        <v>31631</v>
      </c>
      <c r="C15" s="27">
        <f t="shared" si="0"/>
        <v>69145366</v>
      </c>
      <c r="D15" s="27">
        <f>table9!D15</f>
        <v>337668.1954594806</v>
      </c>
      <c r="E15" s="27">
        <f>C15/(D15/318810)+39</f>
        <v>65283753.696503766</v>
      </c>
      <c r="F15" s="27">
        <f>E15*0.7766269</f>
        <v>50701119.25367926</v>
      </c>
      <c r="G15" s="27">
        <f>C15*70%</f>
        <v>48401756.199999996</v>
      </c>
      <c r="H15" s="56">
        <f>IF(F15&gt;G15,0,(G15-F15))</f>
        <v>0</v>
      </c>
      <c r="I15" s="27">
        <f>MAX(F15,G15)</f>
        <v>50701119.25367926</v>
      </c>
      <c r="J15" s="25"/>
      <c r="K15" s="35"/>
      <c r="L15" s="27"/>
      <c r="M15" s="25"/>
    </row>
    <row r="16" spans="1:13" ht="12.75">
      <c r="A16" s="25" t="s">
        <v>5</v>
      </c>
      <c r="B16" s="27">
        <v>2318</v>
      </c>
      <c r="C16" s="27">
        <f t="shared" si="0"/>
        <v>5067148</v>
      </c>
      <c r="D16" s="27">
        <f>table9!D16</f>
        <v>281698.8261343184</v>
      </c>
      <c r="E16" s="27">
        <f>C16/(D16/318810)-3</f>
        <v>5734694.144636749</v>
      </c>
      <c r="F16" s="27">
        <f>E16*0.7766269</f>
        <v>4453717.73599739</v>
      </c>
      <c r="G16" s="27">
        <f>C16*70%</f>
        <v>3547003.5999999996</v>
      </c>
      <c r="H16" s="56">
        <f>IF(F16&gt;G16,0,(G16-F16))</f>
        <v>0</v>
      </c>
      <c r="I16" s="27">
        <f>MAX(F16,G16)</f>
        <v>4453717.73599739</v>
      </c>
      <c r="J16" s="25"/>
      <c r="K16" s="35"/>
      <c r="L16" s="27"/>
      <c r="M16" s="25"/>
    </row>
    <row r="17" spans="1:13" ht="12.75">
      <c r="A17" s="25"/>
      <c r="B17" s="27"/>
      <c r="C17" s="27"/>
      <c r="E17" s="27"/>
      <c r="F17" s="27"/>
      <c r="G17" s="27"/>
      <c r="H17" s="56"/>
      <c r="I17" s="27"/>
      <c r="J17" s="25"/>
      <c r="K17" s="35"/>
      <c r="L17" s="27"/>
      <c r="M17" s="25"/>
    </row>
    <row r="18" spans="1:13" ht="12.75">
      <c r="A18" s="25" t="s">
        <v>6</v>
      </c>
      <c r="B18" s="27">
        <v>2330</v>
      </c>
      <c r="C18" s="27">
        <f t="shared" si="0"/>
        <v>5093380</v>
      </c>
      <c r="D18" s="248">
        <f>table9!D18</f>
        <v>190933.55103399657</v>
      </c>
      <c r="E18" s="27">
        <f>C18/(D18/318810)-20</f>
        <v>8504616.660273876</v>
      </c>
      <c r="F18" s="27">
        <f>E18*0.7766269</f>
        <v>6604914.072556853</v>
      </c>
      <c r="G18" s="27">
        <f>C18*70%+0.4</f>
        <v>3565366.4</v>
      </c>
      <c r="H18" s="56">
        <f>IF(F18&gt;G18,0,(G18-F18))</f>
        <v>0</v>
      </c>
      <c r="I18" s="27">
        <f>MAX(F18,G18)</f>
        <v>6604914.072556853</v>
      </c>
      <c r="J18" s="25"/>
      <c r="K18" s="35"/>
      <c r="L18" s="27"/>
      <c r="M18" s="25"/>
    </row>
    <row r="19" spans="1:13" ht="12.75">
      <c r="A19" s="25" t="s">
        <v>7</v>
      </c>
      <c r="B19" s="27">
        <v>2636</v>
      </c>
      <c r="C19" s="27">
        <f t="shared" si="0"/>
        <v>5762296</v>
      </c>
      <c r="D19" s="248">
        <f>table9!D19</f>
        <v>272870.0591919475</v>
      </c>
      <c r="E19" s="27">
        <f>C19/(D19/318810)+2</f>
        <v>6732428.390788912</v>
      </c>
      <c r="F19" s="27">
        <f>E19*0.7766269</f>
        <v>5228584.990610382</v>
      </c>
      <c r="G19" s="27">
        <f>C19*70%</f>
        <v>4033607.1999999997</v>
      </c>
      <c r="H19" s="56">
        <f>IF(F19&gt;G19,0,(G19-F19))</f>
        <v>0</v>
      </c>
      <c r="I19" s="27">
        <f>MAX(F19,G19)</f>
        <v>5228584.990610382</v>
      </c>
      <c r="J19" s="25"/>
      <c r="K19" s="35"/>
      <c r="L19" s="27"/>
      <c r="M19" s="25"/>
    </row>
    <row r="20" spans="1:13" ht="12.75">
      <c r="A20" s="25" t="s">
        <v>8</v>
      </c>
      <c r="B20" s="27">
        <v>4215</v>
      </c>
      <c r="C20" s="27">
        <f t="shared" si="0"/>
        <v>9213990</v>
      </c>
      <c r="D20" s="248">
        <f>table9!D20</f>
        <v>241917.8049019577</v>
      </c>
      <c r="E20" s="27">
        <f>C20/(D20/318810)-10</f>
        <v>12142594.191909268</v>
      </c>
      <c r="F20" s="27">
        <f>E20*0.7766269</f>
        <v>9430265.2852205</v>
      </c>
      <c r="G20" s="27">
        <f>C20*70%</f>
        <v>6449793</v>
      </c>
      <c r="H20" s="56">
        <f>IF(F20&gt;G20,0,(G20-F20))</f>
        <v>0</v>
      </c>
      <c r="I20" s="27">
        <f>MAX(F20,G20)</f>
        <v>9430265.2852205</v>
      </c>
      <c r="J20" s="25"/>
      <c r="K20" s="35"/>
      <c r="L20" s="27"/>
      <c r="M20" s="25"/>
    </row>
    <row r="21" spans="1:13" ht="12.75">
      <c r="A21" s="25" t="s">
        <v>9</v>
      </c>
      <c r="B21" s="27">
        <v>5648</v>
      </c>
      <c r="C21" s="27">
        <f t="shared" si="0"/>
        <v>12346528</v>
      </c>
      <c r="D21" s="248">
        <f>table9!D21</f>
        <v>250746.07643023983</v>
      </c>
      <c r="E21" s="27">
        <f>C21/(D21/318810)+4</f>
        <v>15697942.917800337</v>
      </c>
      <c r="F21" s="27">
        <f>E21*0.7766269</f>
        <v>12191444.74462823</v>
      </c>
      <c r="G21" s="27">
        <f>C21*70%</f>
        <v>8642569.6</v>
      </c>
      <c r="H21" s="56">
        <f>IF(F21&gt;G21,0,(G21-F21))</f>
        <v>0</v>
      </c>
      <c r="I21" s="27">
        <f>MAX(F21,G21)</f>
        <v>12191444.74462823</v>
      </c>
      <c r="J21" s="25"/>
      <c r="K21" s="35"/>
      <c r="L21" s="27"/>
      <c r="M21" s="25"/>
    </row>
    <row r="22" spans="1:13" ht="12.75">
      <c r="A22" s="25" t="s">
        <v>10</v>
      </c>
      <c r="B22" s="27">
        <v>2279</v>
      </c>
      <c r="C22" s="27">
        <f t="shared" si="0"/>
        <v>4981894</v>
      </c>
      <c r="D22" s="248">
        <f>table9!D22</f>
        <v>250094.0603798048</v>
      </c>
      <c r="E22" s="27">
        <f>C22/(D22/318810)+1</f>
        <v>6350722.099605347</v>
      </c>
      <c r="F22" s="27">
        <f>E22*0.7766269</f>
        <v>4932141.616977992</v>
      </c>
      <c r="G22" s="27">
        <f>C22*70%</f>
        <v>3487325.8</v>
      </c>
      <c r="H22" s="56">
        <f>IF(F22&gt;G22,0,(G22-F22))</f>
        <v>0</v>
      </c>
      <c r="I22" s="27">
        <f>MAX(F22,G22)</f>
        <v>4932141.616977992</v>
      </c>
      <c r="J22" s="25"/>
      <c r="K22" s="35"/>
      <c r="L22" s="27"/>
      <c r="M22" s="25"/>
    </row>
    <row r="23" spans="1:13" ht="12.75">
      <c r="A23" s="25"/>
      <c r="B23" s="27"/>
      <c r="C23" s="27"/>
      <c r="D23" s="248"/>
      <c r="E23" s="27"/>
      <c r="F23" s="27"/>
      <c r="G23" s="27"/>
      <c r="H23" s="56"/>
      <c r="I23" s="27"/>
      <c r="J23" s="25"/>
      <c r="K23" s="35"/>
      <c r="L23" s="27"/>
      <c r="M23" s="25"/>
    </row>
    <row r="24" spans="1:13" ht="12.75">
      <c r="A24" s="25" t="s">
        <v>11</v>
      </c>
      <c r="B24" s="27">
        <v>5705</v>
      </c>
      <c r="C24" s="27">
        <f t="shared" si="0"/>
        <v>12471130</v>
      </c>
      <c r="D24" s="248">
        <f>table9!D24</f>
        <v>277483.15673872863</v>
      </c>
      <c r="E24" s="27">
        <f>C24/(D24/318810)+7</f>
        <v>14328519.771835122</v>
      </c>
      <c r="F24" s="27">
        <f>E24*0.7766269</f>
        <v>11127913.891989019</v>
      </c>
      <c r="G24" s="27">
        <f>C24*70%</f>
        <v>8729791</v>
      </c>
      <c r="H24" s="56">
        <f>IF(F24&gt;G24,0,(G24-F24))</f>
        <v>0</v>
      </c>
      <c r="I24" s="27">
        <f>MAX(F24,G24)</f>
        <v>11127913.891989019</v>
      </c>
      <c r="J24" s="25"/>
      <c r="K24" s="35"/>
      <c r="L24" s="27"/>
      <c r="M24" s="25"/>
    </row>
    <row r="25" spans="1:13" ht="12.75">
      <c r="A25" s="25" t="s">
        <v>12</v>
      </c>
      <c r="B25" s="27">
        <v>1960</v>
      </c>
      <c r="C25" s="27">
        <f t="shared" si="0"/>
        <v>4284560</v>
      </c>
      <c r="D25" s="248">
        <f>table9!D25</f>
        <v>294642.7641261498</v>
      </c>
      <c r="E25" s="27">
        <f>C25/(D25/318810)-4</f>
        <v>4635984.864858636</v>
      </c>
      <c r="F25" s="27">
        <f>E25*0.7766269</f>
        <v>3600430.5540420813</v>
      </c>
      <c r="G25" s="27">
        <f>C25*70%</f>
        <v>2999192</v>
      </c>
      <c r="H25" s="56">
        <f>IF(F25&gt;G25,0,(G25-F25))</f>
        <v>0</v>
      </c>
      <c r="I25" s="27">
        <f>MAX(F25,G25)</f>
        <v>3600430.5540420813</v>
      </c>
      <c r="J25" s="25"/>
      <c r="K25" s="35"/>
      <c r="L25" s="27"/>
      <c r="M25" s="25"/>
    </row>
    <row r="26" spans="1:13" ht="12.75">
      <c r="A26" s="25" t="s">
        <v>13</v>
      </c>
      <c r="B26" s="27">
        <v>7440</v>
      </c>
      <c r="C26" s="27">
        <f t="shared" si="0"/>
        <v>16263840</v>
      </c>
      <c r="D26" s="248">
        <f>table9!D26</f>
        <v>267831.79310602555</v>
      </c>
      <c r="E26" s="27">
        <f>C26/(D26/318810)-15</f>
        <v>19359429.86003349</v>
      </c>
      <c r="F26" s="27">
        <f>E26*0.7766269</f>
        <v>15035053.997965243</v>
      </c>
      <c r="G26" s="27">
        <f>C26*70%</f>
        <v>11384688</v>
      </c>
      <c r="H26" s="56">
        <f>IF(F26&gt;G26,0,(G26-F26))</f>
        <v>0</v>
      </c>
      <c r="I26" s="27">
        <f>MAX(F26,G26)</f>
        <v>15035053.997965243</v>
      </c>
      <c r="J26" s="25"/>
      <c r="K26" s="35"/>
      <c r="L26" s="27"/>
      <c r="M26" s="25"/>
    </row>
    <row r="27" spans="1:13" ht="12.75">
      <c r="A27" s="25" t="s">
        <v>14</v>
      </c>
      <c r="B27" s="27">
        <v>5234</v>
      </c>
      <c r="C27" s="27">
        <f t="shared" si="0"/>
        <v>11441524</v>
      </c>
      <c r="D27" s="248">
        <f>table9!D27</f>
        <v>372981.9071968284</v>
      </c>
      <c r="E27" s="27">
        <f>C27/(D27/318810)-3</f>
        <v>9779753.594238942</v>
      </c>
      <c r="F27" s="27">
        <f>E27*0.7766269</f>
        <v>7595219.716657648</v>
      </c>
      <c r="G27" s="27">
        <f>C27*70%</f>
        <v>8009066.8</v>
      </c>
      <c r="H27" s="56">
        <f>IF(F27&gt;G27,0,(G27-F27))</f>
        <v>413847.08334235195</v>
      </c>
      <c r="I27" s="27">
        <f>MAX(F27,G27)</f>
        <v>8009066.8</v>
      </c>
      <c r="J27" s="25"/>
      <c r="K27" s="35"/>
      <c r="L27" s="27"/>
      <c r="M27" s="25"/>
    </row>
    <row r="28" spans="1:13" ht="12.75">
      <c r="A28" s="25" t="s">
        <v>15</v>
      </c>
      <c r="B28" s="27">
        <v>929</v>
      </c>
      <c r="C28" s="27">
        <f t="shared" si="0"/>
        <v>2030794</v>
      </c>
      <c r="D28" s="248">
        <f>table9!D28</f>
        <v>404348.66090346634</v>
      </c>
      <c r="E28" s="27">
        <f>C28/(D28/318810)-1</f>
        <v>1601185.049913909</v>
      </c>
      <c r="F28" s="27">
        <f>E28*0.7766269</f>
        <v>1243523.3816409844</v>
      </c>
      <c r="G28" s="27">
        <f>C28*70%</f>
        <v>1421555.7999999998</v>
      </c>
      <c r="H28" s="56">
        <f>IF(F28&gt;G28,0,(G28-F28))+0.5</f>
        <v>178032.91835901537</v>
      </c>
      <c r="I28" s="27">
        <f>MAX(F28,G28)</f>
        <v>1421555.7999999998</v>
      </c>
      <c r="J28" s="25"/>
      <c r="K28" s="35"/>
      <c r="L28" s="27"/>
      <c r="M28" s="25"/>
    </row>
    <row r="29" spans="1:13" ht="12.75">
      <c r="A29" s="25"/>
      <c r="B29" s="27" t="s">
        <v>168</v>
      </c>
      <c r="C29" s="27"/>
      <c r="D29" s="248"/>
      <c r="E29" s="27"/>
      <c r="F29" s="27"/>
      <c r="G29" s="27"/>
      <c r="H29" s="56"/>
      <c r="I29" s="27"/>
      <c r="J29" s="25"/>
      <c r="K29" s="35"/>
      <c r="L29" s="27"/>
      <c r="M29" s="25"/>
    </row>
    <row r="30" spans="1:13" ht="12.75">
      <c r="A30" s="25" t="s">
        <v>16</v>
      </c>
      <c r="B30" s="27">
        <v>30010</v>
      </c>
      <c r="C30" s="27">
        <f t="shared" si="0"/>
        <v>65601860</v>
      </c>
      <c r="D30" s="248">
        <f>table9!D30</f>
        <v>490607.37236004707</v>
      </c>
      <c r="E30" s="27">
        <f>C30/(D30/318810)+34</f>
        <v>42629904.98214912</v>
      </c>
      <c r="F30" s="27">
        <f>E30*0.7766269</f>
        <v>33107530.953581024</v>
      </c>
      <c r="G30" s="27">
        <f>C30*70%</f>
        <v>45921302</v>
      </c>
      <c r="H30" s="56">
        <f>IF(F30&gt;G30,0,(G30-F30))</f>
        <v>12813771.046418976</v>
      </c>
      <c r="I30" s="27">
        <f>MAX(F30,G30)</f>
        <v>45921302</v>
      </c>
      <c r="J30" s="25"/>
      <c r="K30" s="35"/>
      <c r="L30" s="27"/>
      <c r="M30" s="25"/>
    </row>
    <row r="31" spans="1:13" ht="12.75">
      <c r="A31" s="25" t="s">
        <v>17</v>
      </c>
      <c r="B31" s="27">
        <v>59940</v>
      </c>
      <c r="C31" s="27">
        <f t="shared" si="0"/>
        <v>131028840</v>
      </c>
      <c r="D31" s="248">
        <f>table9!D31</f>
        <v>235208.60550211836</v>
      </c>
      <c r="E31" s="27">
        <f>C31/(D31/318810)-295</f>
        <v>177600794.00447428</v>
      </c>
      <c r="F31" s="27">
        <f>E31*0.7766269</f>
        <v>137929554.08523345</v>
      </c>
      <c r="G31" s="27">
        <f>C31*70%</f>
        <v>91720188</v>
      </c>
      <c r="H31" s="56">
        <f>IF(F31&gt;G31,0,(G31-F31))</f>
        <v>0</v>
      </c>
      <c r="I31" s="27">
        <f>MAX(F31,G31)</f>
        <v>137929554.08523345</v>
      </c>
      <c r="J31" s="25"/>
      <c r="K31" s="35"/>
      <c r="L31" s="27"/>
      <c r="M31" s="25"/>
    </row>
    <row r="32" spans="1:13" ht="12.75">
      <c r="A32" s="25" t="s">
        <v>18</v>
      </c>
      <c r="B32" s="27">
        <v>1114</v>
      </c>
      <c r="C32" s="27">
        <f t="shared" si="0"/>
        <v>2435204</v>
      </c>
      <c r="D32" s="248">
        <f>table9!D32</f>
        <v>366636.3868209116</v>
      </c>
      <c r="E32" s="27">
        <f>C32/(D32/318810)+3</f>
        <v>2117543.471015025</v>
      </c>
      <c r="F32" s="27">
        <f>E32*0.7766269</f>
        <v>1644541.2215096387</v>
      </c>
      <c r="G32" s="27">
        <f>C32*70%</f>
        <v>1704642.7999999998</v>
      </c>
      <c r="H32" s="56">
        <f>IF(F32&gt;G32,0,(G32-F32))</f>
        <v>60101.578490361106</v>
      </c>
      <c r="I32" s="27">
        <f>MAX(F32,G32)</f>
        <v>1704642.7999999998</v>
      </c>
      <c r="J32" s="25"/>
      <c r="K32" s="35"/>
      <c r="L32" s="27"/>
      <c r="M32" s="25"/>
    </row>
    <row r="33" spans="1:13" ht="12.75">
      <c r="A33" s="25" t="s">
        <v>19</v>
      </c>
      <c r="B33" s="27">
        <v>3628</v>
      </c>
      <c r="C33" s="27">
        <f t="shared" si="0"/>
        <v>7930808</v>
      </c>
      <c r="D33" s="248">
        <f>table9!D33</f>
        <v>255632.231449905</v>
      </c>
      <c r="E33" s="27">
        <f>C33/(D33/318810)+9</f>
        <v>9890862.293965328</v>
      </c>
      <c r="F33" s="27">
        <f>E33*0.7766269-0.5</f>
        <v>7681509.221689181</v>
      </c>
      <c r="G33" s="27">
        <f>C33*70%</f>
        <v>5551565.6</v>
      </c>
      <c r="H33" s="56">
        <f>IF(F33&gt;G33,0,(G33-F33))</f>
        <v>0</v>
      </c>
      <c r="I33" s="27">
        <f>MAX(F33,G33)</f>
        <v>7681509.221689181</v>
      </c>
      <c r="J33" s="25"/>
      <c r="K33" s="35"/>
      <c r="L33" s="27"/>
      <c r="M33" s="25"/>
    </row>
    <row r="34" spans="1:13" ht="12.75">
      <c r="A34" s="25" t="s">
        <v>20</v>
      </c>
      <c r="B34" s="27">
        <v>1677</v>
      </c>
      <c r="C34" s="27">
        <f t="shared" si="0"/>
        <v>3665922</v>
      </c>
      <c r="D34" s="248">
        <f>table9!D34</f>
        <v>193970.6190086403</v>
      </c>
      <c r="E34" s="27">
        <f>C34/(D34/318810)-11</f>
        <v>6025296.331560042</v>
      </c>
      <c r="F34" s="27">
        <f>E34*0.7766269</f>
        <v>4679407.211560847</v>
      </c>
      <c r="G34" s="27">
        <f>C34*70%</f>
        <v>2566145.4</v>
      </c>
      <c r="H34" s="56">
        <f>IF(F34&gt;G34,0,(G34-F34))</f>
        <v>0</v>
      </c>
      <c r="I34" s="27">
        <f>MAX(F34,G34)</f>
        <v>4679407.211560847</v>
      </c>
      <c r="J34" s="25"/>
      <c r="K34" s="35"/>
      <c r="L34" s="27"/>
      <c r="M34" s="25"/>
    </row>
    <row r="35" spans="1:13" ht="12.75">
      <c r="A35" s="25"/>
      <c r="B35" s="27"/>
      <c r="C35" s="27"/>
      <c r="D35" s="248"/>
      <c r="E35" s="27"/>
      <c r="F35" s="27"/>
      <c r="G35" s="27"/>
      <c r="H35" s="56"/>
      <c r="I35" s="27"/>
      <c r="J35" s="25"/>
      <c r="K35" s="35"/>
      <c r="L35" s="27"/>
      <c r="M35" s="25"/>
    </row>
    <row r="36" spans="1:13" ht="12.75">
      <c r="A36" s="25" t="s">
        <v>21</v>
      </c>
      <c r="B36" s="258">
        <v>1222</v>
      </c>
      <c r="C36" s="27">
        <f t="shared" si="0"/>
        <v>2671292</v>
      </c>
      <c r="D36" s="248">
        <f>table9!D36</f>
        <v>645226.7855222241</v>
      </c>
      <c r="E36" s="27">
        <f>C36/(D36/318810)-1</f>
        <v>1319898.640915739</v>
      </c>
      <c r="F36" s="27">
        <f>E36*0.7766269</f>
        <v>1025068.7898086035</v>
      </c>
      <c r="G36" s="27">
        <f>C36*70%</f>
        <v>1869904.4</v>
      </c>
      <c r="H36" s="56">
        <f>IF(F36&gt;G36,0,(G36-F36))-0.5</f>
        <v>844835.1101913964</v>
      </c>
      <c r="I36" s="27">
        <f>MAX(F36,G36)</f>
        <v>1869904.4</v>
      </c>
      <c r="J36" s="25"/>
      <c r="K36" s="35"/>
      <c r="L36" s="27"/>
      <c r="M36" s="25"/>
    </row>
    <row r="37" spans="1:13" ht="12.75">
      <c r="A37" s="25" t="s">
        <v>22</v>
      </c>
      <c r="B37" s="27">
        <v>6998</v>
      </c>
      <c r="C37" s="27">
        <f t="shared" si="0"/>
        <v>15297628</v>
      </c>
      <c r="D37" s="248">
        <f>table9!D37</f>
        <v>250892.75685657957</v>
      </c>
      <c r="E37" s="27">
        <f>C37/(D37/318810)-20</f>
        <v>19438710.88958049</v>
      </c>
      <c r="F37" s="27">
        <f>E37*0.7766269</f>
        <v>15096625.778171137</v>
      </c>
      <c r="G37" s="27">
        <f>C37*70%</f>
        <v>10708339.6</v>
      </c>
      <c r="H37" s="56">
        <f>IF(F37&gt;G37,0,(G37-F37))</f>
        <v>0</v>
      </c>
      <c r="I37" s="27">
        <f>MAX(F37,G37)</f>
        <v>15096625.778171137</v>
      </c>
      <c r="J37" s="25"/>
      <c r="K37" s="35"/>
      <c r="L37" s="27"/>
      <c r="M37" s="25"/>
    </row>
    <row r="38" spans="1:13" ht="12.75">
      <c r="A38" s="25" t="s">
        <v>23</v>
      </c>
      <c r="B38" s="27">
        <v>6053</v>
      </c>
      <c r="C38" s="27">
        <f t="shared" si="0"/>
        <v>13231858</v>
      </c>
      <c r="D38" s="248">
        <f>table9!D38</f>
        <v>216405.21545221045</v>
      </c>
      <c r="E38" s="27">
        <f>C38/(D38/318810)+18</f>
        <v>19493303.502222914</v>
      </c>
      <c r="F38" s="27">
        <f>E38*0.7766269</f>
        <v>15139023.869690524</v>
      </c>
      <c r="G38" s="27">
        <f>C38*70%</f>
        <v>9262300.6</v>
      </c>
      <c r="H38" s="56">
        <f>IF(F38&gt;G38,0,(G38-F38))</f>
        <v>0</v>
      </c>
      <c r="I38" s="27">
        <f>MAX(F38,G38)</f>
        <v>15139023.869690524</v>
      </c>
      <c r="J38" s="25"/>
      <c r="K38" s="35"/>
      <c r="L38" s="27"/>
      <c r="M38" s="25"/>
    </row>
    <row r="39" spans="1:13" ht="12.75">
      <c r="A39" s="36" t="s">
        <v>24</v>
      </c>
      <c r="B39" s="249">
        <v>2141</v>
      </c>
      <c r="C39" s="249">
        <f t="shared" si="0"/>
        <v>4680226</v>
      </c>
      <c r="D39" s="259">
        <f>table9!D39</f>
        <v>757780.6178401541</v>
      </c>
      <c r="E39" s="249">
        <f>C39/(D39/318810)-1</f>
        <v>1969042.3034732798</v>
      </c>
      <c r="F39" s="249">
        <f>E39*0.7766269</f>
        <v>1529211.2201153126</v>
      </c>
      <c r="G39" s="249">
        <f>C39*70%</f>
        <v>3276158.1999999997</v>
      </c>
      <c r="H39" s="235">
        <f>IF(F39&gt;G39,0,(G39-F39))</f>
        <v>1746946.979884687</v>
      </c>
      <c r="I39" s="249">
        <f>MAX(F39,G39)</f>
        <v>3276158.1999999997</v>
      </c>
      <c r="J39" s="25"/>
      <c r="K39" s="35"/>
      <c r="L39" s="27"/>
      <c r="M39" s="25"/>
    </row>
    <row r="40" spans="1:13" ht="12.75">
      <c r="A40" s="38"/>
      <c r="B40" s="38"/>
      <c r="C40" s="223"/>
      <c r="D40" s="38"/>
      <c r="E40" s="38"/>
      <c r="F40" s="38"/>
      <c r="G40" s="38"/>
      <c r="H40" s="38"/>
      <c r="I40" s="38"/>
      <c r="J40" s="25"/>
      <c r="K40" s="25"/>
      <c r="L40" s="27"/>
      <c r="M40" s="25"/>
    </row>
    <row r="41" spans="1:13" ht="12.75">
      <c r="A41" s="25" t="s">
        <v>355</v>
      </c>
      <c r="B41" s="27"/>
      <c r="C41" s="27"/>
      <c r="D41" s="27"/>
      <c r="E41" s="27"/>
      <c r="F41" s="27"/>
      <c r="G41" s="27"/>
      <c r="H41" s="27"/>
      <c r="I41" s="27"/>
      <c r="J41" s="25"/>
      <c r="K41" s="25"/>
      <c r="L41" s="27"/>
      <c r="M41" s="25"/>
    </row>
    <row r="42" spans="1:13" ht="12.75">
      <c r="A42" s="25" t="s">
        <v>357</v>
      </c>
      <c r="B42" s="27"/>
      <c r="C42" s="27"/>
      <c r="D42" s="27"/>
      <c r="E42" s="27"/>
      <c r="F42" s="27"/>
      <c r="G42" s="27"/>
      <c r="H42" s="27"/>
      <c r="I42" s="27"/>
      <c r="J42" s="25"/>
      <c r="K42" s="25"/>
      <c r="L42" s="27"/>
      <c r="M42" s="25"/>
    </row>
    <row r="43" spans="1:13" ht="12.75">
      <c r="A43" s="25"/>
      <c r="B43" s="27"/>
      <c r="C43" s="27"/>
      <c r="D43" s="27"/>
      <c r="E43" s="27"/>
      <c r="F43" s="27"/>
      <c r="G43" s="27"/>
      <c r="H43" s="27"/>
      <c r="I43" s="27"/>
      <c r="J43" s="25"/>
      <c r="K43" s="25"/>
      <c r="L43" s="27"/>
      <c r="M43" s="25"/>
    </row>
    <row r="44" spans="1:13" ht="12.75">
      <c r="A44" s="25"/>
      <c r="B44" s="27"/>
      <c r="C44" s="27"/>
      <c r="D44" s="27"/>
      <c r="E44" s="27"/>
      <c r="F44" s="27"/>
      <c r="G44" s="27"/>
      <c r="H44" s="27"/>
      <c r="I44" s="27"/>
      <c r="J44" s="25"/>
      <c r="K44" s="25"/>
      <c r="L44" s="25"/>
      <c r="M44" s="25"/>
    </row>
    <row r="45" spans="1:13" ht="12.75">
      <c r="A45" s="25"/>
      <c r="B45" s="27"/>
      <c r="C45" s="27"/>
      <c r="D45" s="27"/>
      <c r="E45" s="27"/>
      <c r="F45" s="27"/>
      <c r="G45" s="27"/>
      <c r="H45" s="27"/>
      <c r="I45" s="27"/>
      <c r="J45" s="25"/>
      <c r="K45" s="25"/>
      <c r="L45" s="25"/>
      <c r="M45" s="25"/>
    </row>
    <row r="46" spans="1:13" ht="12.75">
      <c r="A46" s="25"/>
      <c r="B46" s="27"/>
      <c r="C46" s="27"/>
      <c r="D46" s="27"/>
      <c r="E46" s="27"/>
      <c r="F46" s="27"/>
      <c r="G46" s="27"/>
      <c r="H46" s="27"/>
      <c r="I46" s="27"/>
      <c r="J46" s="25"/>
      <c r="K46" s="25"/>
      <c r="L46" s="25"/>
      <c r="M46" s="25"/>
    </row>
    <row r="47" spans="1:13" ht="12.75">
      <c r="A47" s="25"/>
      <c r="B47" s="27"/>
      <c r="C47" s="27"/>
      <c r="D47" s="27"/>
      <c r="E47" s="27"/>
      <c r="F47" s="27"/>
      <c r="G47" s="27"/>
      <c r="H47" s="27"/>
      <c r="I47" s="27"/>
      <c r="J47" s="25"/>
      <c r="K47" s="25"/>
      <c r="L47" s="25"/>
      <c r="M47" s="25"/>
    </row>
    <row r="48" spans="1:13" ht="12.75">
      <c r="A48" s="25"/>
      <c r="B48" s="27"/>
      <c r="C48" s="27"/>
      <c r="D48" s="27"/>
      <c r="E48" s="27"/>
      <c r="F48" s="27"/>
      <c r="G48" s="27"/>
      <c r="H48" s="27"/>
      <c r="I48" s="27"/>
      <c r="J48" s="25"/>
      <c r="K48" s="25"/>
      <c r="L48" s="25"/>
      <c r="M48" s="25"/>
    </row>
    <row r="49" spans="1:13" ht="12.75">
      <c r="A49" s="25"/>
      <c r="B49" s="27"/>
      <c r="C49" s="27"/>
      <c r="D49" s="27"/>
      <c r="E49" s="27"/>
      <c r="F49" s="27"/>
      <c r="G49" s="27"/>
      <c r="H49" s="27"/>
      <c r="I49" s="27"/>
      <c r="J49" s="25"/>
      <c r="K49" s="25"/>
      <c r="L49" s="25"/>
      <c r="M49" s="25"/>
    </row>
    <row r="50" spans="1:13" ht="12.75">
      <c r="A50" s="25"/>
      <c r="B50" s="27"/>
      <c r="C50" s="27"/>
      <c r="D50" s="27"/>
      <c r="E50" s="27"/>
      <c r="F50" s="27"/>
      <c r="G50" s="27"/>
      <c r="H50" s="27"/>
      <c r="I50" s="27"/>
      <c r="J50" s="25"/>
      <c r="K50" s="25"/>
      <c r="L50" s="25"/>
      <c r="M50" s="25"/>
    </row>
    <row r="51" spans="1:13" ht="12.75">
      <c r="A51" s="25"/>
      <c r="B51" s="27"/>
      <c r="C51" s="27"/>
      <c r="D51" s="27"/>
      <c r="E51" s="27"/>
      <c r="F51" s="27"/>
      <c r="G51" s="27"/>
      <c r="H51" s="27"/>
      <c r="I51" s="27"/>
      <c r="J51" s="25"/>
      <c r="K51" s="25"/>
      <c r="L51" s="25"/>
      <c r="M51" s="25"/>
    </row>
    <row r="52" spans="1:13" ht="12.75">
      <c r="A52" s="25"/>
      <c r="B52" s="27"/>
      <c r="C52" s="27"/>
      <c r="D52" s="27"/>
      <c r="E52" s="27"/>
      <c r="F52" s="27"/>
      <c r="G52" s="27"/>
      <c r="H52" s="27"/>
      <c r="I52" s="27"/>
      <c r="J52" s="25"/>
      <c r="K52" s="25"/>
      <c r="L52" s="25"/>
      <c r="M52" s="25"/>
    </row>
    <row r="53" spans="1:13" ht="12.75">
      <c r="A53" s="25"/>
      <c r="B53" s="27"/>
      <c r="C53" s="27"/>
      <c r="D53" s="27"/>
      <c r="E53" s="27"/>
      <c r="F53" s="27"/>
      <c r="G53" s="27"/>
      <c r="H53" s="27"/>
      <c r="I53" s="27"/>
      <c r="J53" s="25"/>
      <c r="K53" s="25"/>
      <c r="L53" s="25"/>
      <c r="M53" s="25"/>
    </row>
    <row r="54" spans="1:13" ht="12.75">
      <c r="A54" s="25"/>
      <c r="B54" s="27"/>
      <c r="C54" s="27"/>
      <c r="D54" s="27"/>
      <c r="E54" s="27"/>
      <c r="F54" s="27"/>
      <c r="G54" s="27"/>
      <c r="H54" s="27"/>
      <c r="I54" s="27"/>
      <c r="J54" s="25"/>
      <c r="K54" s="25"/>
      <c r="L54" s="25"/>
      <c r="M54" s="25"/>
    </row>
    <row r="55" spans="1:13" ht="12.75">
      <c r="A55" s="25"/>
      <c r="B55" s="27"/>
      <c r="C55" s="27"/>
      <c r="D55" s="27"/>
      <c r="E55" s="27"/>
      <c r="F55" s="27"/>
      <c r="G55" s="27"/>
      <c r="H55" s="27"/>
      <c r="I55" s="27"/>
      <c r="J55" s="25"/>
      <c r="K55" s="25"/>
      <c r="L55" s="25"/>
      <c r="M55" s="25"/>
    </row>
    <row r="56" spans="1:13" ht="12.75">
      <c r="A56" s="25"/>
      <c r="B56" s="27"/>
      <c r="C56" s="27"/>
      <c r="D56" s="27"/>
      <c r="E56" s="27"/>
      <c r="F56" s="27"/>
      <c r="G56" s="27"/>
      <c r="H56" s="27"/>
      <c r="I56" s="27"/>
      <c r="J56" s="25"/>
      <c r="K56" s="25"/>
      <c r="L56" s="25"/>
      <c r="M56" s="25"/>
    </row>
    <row r="57" spans="1:13" ht="12.75">
      <c r="A57" s="25"/>
      <c r="B57" s="27"/>
      <c r="C57" s="27"/>
      <c r="D57" s="27"/>
      <c r="E57" s="27"/>
      <c r="F57" s="27"/>
      <c r="G57" s="27"/>
      <c r="H57" s="27"/>
      <c r="I57" s="27"/>
      <c r="J57" s="25"/>
      <c r="K57" s="25"/>
      <c r="L57" s="25"/>
      <c r="M57" s="25"/>
    </row>
    <row r="58" spans="1:13" ht="12.75">
      <c r="A58" s="25"/>
      <c r="B58" s="27"/>
      <c r="C58" s="27"/>
      <c r="D58" s="27"/>
      <c r="E58" s="27"/>
      <c r="F58" s="27"/>
      <c r="G58" s="27"/>
      <c r="H58" s="27"/>
      <c r="I58" s="27"/>
      <c r="J58" s="25"/>
      <c r="K58" s="25"/>
      <c r="L58" s="25"/>
      <c r="M58" s="25"/>
    </row>
    <row r="59" spans="1:13" ht="12.75">
      <c r="A59" s="25"/>
      <c r="B59" s="27"/>
      <c r="C59" s="27"/>
      <c r="D59" s="27"/>
      <c r="E59" s="27"/>
      <c r="F59" s="27"/>
      <c r="G59" s="27"/>
      <c r="H59" s="27"/>
      <c r="I59" s="27"/>
      <c r="J59" s="25"/>
      <c r="K59" s="25"/>
      <c r="L59" s="25"/>
      <c r="M59" s="25"/>
    </row>
    <row r="60" spans="1:13" ht="12.75">
      <c r="A60" s="25"/>
      <c r="B60" s="27"/>
      <c r="C60" s="27"/>
      <c r="D60" s="27"/>
      <c r="E60" s="27"/>
      <c r="F60" s="27"/>
      <c r="G60" s="27"/>
      <c r="H60" s="27"/>
      <c r="I60" s="27"/>
      <c r="J60" s="25"/>
      <c r="K60" s="25"/>
      <c r="L60" s="25"/>
      <c r="M60" s="25"/>
    </row>
    <row r="61" spans="1:13" ht="12.75">
      <c r="A61" s="25"/>
      <c r="B61" s="27"/>
      <c r="C61" s="27"/>
      <c r="D61" s="27"/>
      <c r="E61" s="27"/>
      <c r="F61" s="27"/>
      <c r="G61" s="27"/>
      <c r="H61" s="27"/>
      <c r="I61" s="27"/>
      <c r="J61" s="25"/>
      <c r="K61" s="25"/>
      <c r="L61" s="25"/>
      <c r="M61" s="25"/>
    </row>
    <row r="62" spans="1:13" ht="12.75">
      <c r="A62" s="25"/>
      <c r="B62" s="27"/>
      <c r="C62" s="27"/>
      <c r="D62" s="27"/>
      <c r="E62" s="27"/>
      <c r="F62" s="27"/>
      <c r="G62" s="27"/>
      <c r="H62" s="27"/>
      <c r="I62" s="27"/>
      <c r="J62" s="25"/>
      <c r="K62" s="25"/>
      <c r="L62" s="25"/>
      <c r="M62" s="25"/>
    </row>
    <row r="63" spans="1:13" ht="12.75">
      <c r="A63" s="25"/>
      <c r="B63" s="27"/>
      <c r="C63" s="27"/>
      <c r="D63" s="27"/>
      <c r="E63" s="27"/>
      <c r="F63" s="27"/>
      <c r="G63" s="27"/>
      <c r="H63" s="27"/>
      <c r="I63" s="27"/>
      <c r="J63" s="25"/>
      <c r="K63" s="25"/>
      <c r="L63" s="25"/>
      <c r="M63" s="25"/>
    </row>
    <row r="64" spans="1:13" ht="12.75">
      <c r="A64" s="25"/>
      <c r="B64" s="27"/>
      <c r="C64" s="27"/>
      <c r="D64" s="27"/>
      <c r="E64" s="27"/>
      <c r="F64" s="27"/>
      <c r="G64" s="27"/>
      <c r="H64" s="27"/>
      <c r="I64" s="27"/>
      <c r="J64" s="25"/>
      <c r="K64" s="25"/>
      <c r="L64" s="25"/>
      <c r="M64" s="25"/>
    </row>
    <row r="65" spans="1:13" ht="12.75">
      <c r="A65" s="25"/>
      <c r="B65" s="27"/>
      <c r="C65" s="27"/>
      <c r="D65" s="27"/>
      <c r="E65" s="27"/>
      <c r="F65" s="27"/>
      <c r="G65" s="27"/>
      <c r="H65" s="27"/>
      <c r="I65" s="27"/>
      <c r="J65" s="25"/>
      <c r="K65" s="25"/>
      <c r="L65" s="25"/>
      <c r="M65" s="25"/>
    </row>
    <row r="66" spans="1:13" ht="12.75">
      <c r="A66" s="25"/>
      <c r="B66" s="27"/>
      <c r="C66" s="27"/>
      <c r="D66" s="27"/>
      <c r="E66" s="27"/>
      <c r="F66" s="27"/>
      <c r="G66" s="27"/>
      <c r="H66" s="27"/>
      <c r="I66" s="27"/>
      <c r="J66" s="25"/>
      <c r="K66" s="25"/>
      <c r="L66" s="25"/>
      <c r="M66" s="25"/>
    </row>
    <row r="67" spans="1:13" ht="12.75">
      <c r="A67" s="25"/>
      <c r="B67" s="27"/>
      <c r="C67" s="27"/>
      <c r="D67" s="27"/>
      <c r="E67" s="27"/>
      <c r="F67" s="27"/>
      <c r="G67" s="27"/>
      <c r="H67" s="27"/>
      <c r="I67" s="27"/>
      <c r="J67" s="25"/>
      <c r="K67" s="25"/>
      <c r="L67" s="25"/>
      <c r="M67" s="25"/>
    </row>
    <row r="68" spans="1:13" ht="12.75">
      <c r="A68" s="25"/>
      <c r="B68" s="27"/>
      <c r="C68" s="27"/>
      <c r="D68" s="27"/>
      <c r="E68" s="27"/>
      <c r="F68" s="27"/>
      <c r="G68" s="27"/>
      <c r="H68" s="27"/>
      <c r="I68" s="27"/>
      <c r="J68" s="25"/>
      <c r="K68" s="25"/>
      <c r="L68" s="25"/>
      <c r="M68" s="25"/>
    </row>
    <row r="69" spans="1:13" ht="12.75">
      <c r="A69" s="25"/>
      <c r="B69" s="27"/>
      <c r="C69" s="27"/>
      <c r="D69" s="27"/>
      <c r="E69" s="27"/>
      <c r="F69" s="27"/>
      <c r="G69" s="27"/>
      <c r="H69" s="27"/>
      <c r="I69" s="27"/>
      <c r="J69" s="25"/>
      <c r="K69" s="25"/>
      <c r="L69" s="25"/>
      <c r="M69" s="25"/>
    </row>
    <row r="70" spans="1:13" ht="12.75">
      <c r="A70" s="25"/>
      <c r="B70" s="27"/>
      <c r="C70" s="27"/>
      <c r="D70" s="27"/>
      <c r="E70" s="27"/>
      <c r="F70" s="27"/>
      <c r="G70" s="27"/>
      <c r="H70" s="27"/>
      <c r="I70" s="27"/>
      <c r="J70" s="25"/>
      <c r="K70" s="25"/>
      <c r="L70" s="25"/>
      <c r="M70" s="25"/>
    </row>
    <row r="71" spans="2:9" ht="12.75">
      <c r="B71" s="31"/>
      <c r="C71" s="31"/>
      <c r="D71" s="31"/>
      <c r="E71" s="31"/>
      <c r="F71" s="31"/>
      <c r="G71" s="31"/>
      <c r="H71" s="31"/>
      <c r="I71" s="31"/>
    </row>
    <row r="72" spans="2:9" ht="12.75">
      <c r="B72" s="31"/>
      <c r="C72" s="31"/>
      <c r="D72" s="31"/>
      <c r="E72" s="31"/>
      <c r="F72" s="31"/>
      <c r="G72" s="31"/>
      <c r="H72" s="31"/>
      <c r="I72" s="31"/>
    </row>
    <row r="73" spans="2:9" ht="12.75">
      <c r="B73" s="31"/>
      <c r="C73" s="31"/>
      <c r="D73" s="31"/>
      <c r="E73" s="31"/>
      <c r="F73" s="31"/>
      <c r="G73" s="31"/>
      <c r="H73" s="31"/>
      <c r="I73" s="31"/>
    </row>
    <row r="74" spans="2:9" ht="12.75">
      <c r="B74" s="31"/>
      <c r="C74" s="31"/>
      <c r="D74" s="31"/>
      <c r="E74" s="31"/>
      <c r="F74" s="31"/>
      <c r="G74" s="31"/>
      <c r="H74" s="31"/>
      <c r="I74" s="31"/>
    </row>
    <row r="75" spans="2:9" ht="12.75">
      <c r="B75" s="31"/>
      <c r="C75" s="31"/>
      <c r="D75" s="31"/>
      <c r="E75" s="31"/>
      <c r="F75" s="31"/>
      <c r="G75" s="31"/>
      <c r="H75" s="31"/>
      <c r="I75" s="31"/>
    </row>
    <row r="76" spans="2:9" ht="12.75">
      <c r="B76" s="31"/>
      <c r="C76" s="31"/>
      <c r="D76" s="31"/>
      <c r="E76" s="31"/>
      <c r="F76" s="31"/>
      <c r="G76" s="31"/>
      <c r="H76" s="31"/>
      <c r="I76" s="31"/>
    </row>
    <row r="77" spans="2:9" ht="12.75">
      <c r="B77" s="31"/>
      <c r="C77" s="31"/>
      <c r="D77" s="31"/>
      <c r="E77" s="31"/>
      <c r="F77" s="31"/>
      <c r="G77" s="31"/>
      <c r="H77" s="31"/>
      <c r="I77" s="31"/>
    </row>
    <row r="78" spans="2:9" ht="12.75">
      <c r="B78" s="31"/>
      <c r="C78" s="31"/>
      <c r="D78" s="31"/>
      <c r="E78" s="31"/>
      <c r="F78" s="31"/>
      <c r="G78" s="31"/>
      <c r="H78" s="31"/>
      <c r="I78" s="31"/>
    </row>
    <row r="79" spans="2:9" ht="12.75">
      <c r="B79" s="31"/>
      <c r="C79" s="31"/>
      <c r="D79" s="31"/>
      <c r="E79" s="31"/>
      <c r="F79" s="31"/>
      <c r="G79" s="31"/>
      <c r="H79" s="31"/>
      <c r="I79" s="31"/>
    </row>
    <row r="80" spans="2:9" ht="12.75">
      <c r="B80" s="31"/>
      <c r="C80" s="31"/>
      <c r="D80" s="31"/>
      <c r="E80" s="31"/>
      <c r="F80" s="31"/>
      <c r="G80" s="31"/>
      <c r="H80" s="31"/>
      <c r="I80" s="31"/>
    </row>
    <row r="81" spans="2:9" ht="12.75">
      <c r="B81" s="31"/>
      <c r="C81" s="31"/>
      <c r="D81" s="31"/>
      <c r="E81" s="31"/>
      <c r="F81" s="31"/>
      <c r="G81" s="31"/>
      <c r="H81" s="31"/>
      <c r="I81" s="31"/>
    </row>
    <row r="82" spans="2:9" ht="12.75">
      <c r="B82" s="31"/>
      <c r="C82" s="31"/>
      <c r="D82" s="31"/>
      <c r="E82" s="31"/>
      <c r="F82" s="31"/>
      <c r="G82" s="31"/>
      <c r="H82" s="31"/>
      <c r="I82" s="31"/>
    </row>
    <row r="83" spans="2:9" ht="12.75">
      <c r="B83" s="31"/>
      <c r="C83" s="31"/>
      <c r="D83" s="31"/>
      <c r="E83" s="31"/>
      <c r="F83" s="31"/>
      <c r="G83" s="31"/>
      <c r="H83" s="31"/>
      <c r="I83" s="31"/>
    </row>
    <row r="84" spans="2:9" ht="12.75">
      <c r="B84" s="31"/>
      <c r="C84" s="31"/>
      <c r="D84" s="31"/>
      <c r="E84" s="31"/>
      <c r="F84" s="31"/>
      <c r="G84" s="31"/>
      <c r="H84" s="31"/>
      <c r="I84" s="31"/>
    </row>
    <row r="85" spans="2:9" ht="12.75">
      <c r="B85" s="31"/>
      <c r="C85" s="31"/>
      <c r="D85" s="31"/>
      <c r="E85" s="31"/>
      <c r="F85" s="31"/>
      <c r="G85" s="31"/>
      <c r="H85" s="31"/>
      <c r="I85" s="31"/>
    </row>
    <row r="86" spans="2:9" ht="12.75">
      <c r="B86" s="31"/>
      <c r="C86" s="31"/>
      <c r="D86" s="31"/>
      <c r="E86" s="31"/>
      <c r="F86" s="31"/>
      <c r="G86" s="31"/>
      <c r="H86" s="31"/>
      <c r="I86" s="31"/>
    </row>
    <row r="87" spans="2:9" ht="12.75">
      <c r="B87" s="31"/>
      <c r="C87" s="31"/>
      <c r="D87" s="31"/>
      <c r="E87" s="31"/>
      <c r="F87" s="31"/>
      <c r="G87" s="31"/>
      <c r="H87" s="31"/>
      <c r="I87" s="31"/>
    </row>
    <row r="88" spans="2:9" ht="12.75">
      <c r="B88" s="31"/>
      <c r="C88" s="31"/>
      <c r="D88" s="31"/>
      <c r="E88" s="31"/>
      <c r="F88" s="31"/>
      <c r="G88" s="31"/>
      <c r="H88" s="31"/>
      <c r="I88" s="31"/>
    </row>
    <row r="89" spans="2:9" ht="12.75">
      <c r="B89" s="31"/>
      <c r="C89" s="31"/>
      <c r="D89" s="31"/>
      <c r="E89" s="31"/>
      <c r="F89" s="31"/>
      <c r="G89" s="31"/>
      <c r="H89" s="31"/>
      <c r="I89" s="31"/>
    </row>
    <row r="90" spans="2:9" ht="12.75">
      <c r="B90" s="31"/>
      <c r="C90" s="31"/>
      <c r="D90" s="31"/>
      <c r="E90" s="31"/>
      <c r="F90" s="31"/>
      <c r="G90" s="31"/>
      <c r="H90" s="31"/>
      <c r="I90" s="31"/>
    </row>
    <row r="91" spans="2:9" ht="12.75">
      <c r="B91" s="31"/>
      <c r="C91" s="31"/>
      <c r="D91" s="31"/>
      <c r="E91" s="31"/>
      <c r="F91" s="31"/>
      <c r="G91" s="31"/>
      <c r="H91" s="31"/>
      <c r="I91" s="31"/>
    </row>
    <row r="92" spans="2:9" ht="12.75">
      <c r="B92" s="31"/>
      <c r="C92" s="31"/>
      <c r="D92" s="31"/>
      <c r="E92" s="31"/>
      <c r="F92" s="31"/>
      <c r="G92" s="31"/>
      <c r="H92" s="31"/>
      <c r="I92" s="31"/>
    </row>
    <row r="93" spans="2:9" ht="12.75">
      <c r="B93" s="31"/>
      <c r="C93" s="31"/>
      <c r="D93" s="31"/>
      <c r="E93" s="31"/>
      <c r="F93" s="31"/>
      <c r="G93" s="31"/>
      <c r="H93" s="31"/>
      <c r="I93" s="31"/>
    </row>
    <row r="94" spans="2:9" ht="12.75">
      <c r="B94" s="31"/>
      <c r="C94" s="31"/>
      <c r="D94" s="31"/>
      <c r="E94" s="31"/>
      <c r="F94" s="31"/>
      <c r="G94" s="31"/>
      <c r="H94" s="31"/>
      <c r="I94" s="31"/>
    </row>
    <row r="95" spans="2:9" ht="12.75">
      <c r="B95" s="31"/>
      <c r="C95" s="31"/>
      <c r="D95" s="31"/>
      <c r="E95" s="31"/>
      <c r="F95" s="31"/>
      <c r="G95" s="31"/>
      <c r="H95" s="31"/>
      <c r="I95" s="31"/>
    </row>
    <row r="96" spans="2:9" ht="12.75">
      <c r="B96" s="31"/>
      <c r="C96" s="31"/>
      <c r="D96" s="31"/>
      <c r="E96" s="31"/>
      <c r="F96" s="31"/>
      <c r="G96" s="31"/>
      <c r="H96" s="31"/>
      <c r="I96" s="31"/>
    </row>
    <row r="97" spans="2:9" ht="12.75">
      <c r="B97" s="31"/>
      <c r="C97" s="31"/>
      <c r="D97" s="31"/>
      <c r="E97" s="31"/>
      <c r="F97" s="31"/>
      <c r="G97" s="31"/>
      <c r="H97" s="31"/>
      <c r="I97" s="31"/>
    </row>
    <row r="98" spans="2:9" ht="12.75">
      <c r="B98" s="31"/>
      <c r="C98" s="31"/>
      <c r="D98" s="31"/>
      <c r="E98" s="31"/>
      <c r="F98" s="31"/>
      <c r="G98" s="31"/>
      <c r="H98" s="31"/>
      <c r="I98" s="31"/>
    </row>
    <row r="99" spans="2:9" ht="12.75">
      <c r="B99" s="31"/>
      <c r="C99" s="31"/>
      <c r="D99" s="31"/>
      <c r="E99" s="31"/>
      <c r="F99" s="31"/>
      <c r="G99" s="31"/>
      <c r="H99" s="31"/>
      <c r="I99" s="31"/>
    </row>
    <row r="100" spans="2:9" ht="12.75">
      <c r="B100" s="31"/>
      <c r="C100" s="31"/>
      <c r="D100" s="31"/>
      <c r="E100" s="31"/>
      <c r="F100" s="31"/>
      <c r="G100" s="31"/>
      <c r="H100" s="31"/>
      <c r="I100" s="31"/>
    </row>
    <row r="101" spans="2:9" ht="12.75">
      <c r="B101" s="31"/>
      <c r="C101" s="31"/>
      <c r="D101" s="31"/>
      <c r="E101" s="31"/>
      <c r="F101" s="31"/>
      <c r="G101" s="31"/>
      <c r="H101" s="31"/>
      <c r="I101" s="31"/>
    </row>
    <row r="102" spans="2:9" ht="12.75">
      <c r="B102" s="31"/>
      <c r="C102" s="31"/>
      <c r="D102" s="31"/>
      <c r="E102" s="31"/>
      <c r="F102" s="31"/>
      <c r="G102" s="31"/>
      <c r="H102" s="31"/>
      <c r="I102" s="31"/>
    </row>
    <row r="103" spans="2:9" ht="12.75">
      <c r="B103" s="31"/>
      <c r="C103" s="31"/>
      <c r="D103" s="31"/>
      <c r="E103" s="31"/>
      <c r="F103" s="31"/>
      <c r="G103" s="31"/>
      <c r="H103" s="31"/>
      <c r="I103" s="31"/>
    </row>
    <row r="104" spans="2:9" ht="12.75">
      <c r="B104" s="31"/>
      <c r="C104" s="31"/>
      <c r="D104" s="31"/>
      <c r="E104" s="31"/>
      <c r="F104" s="31"/>
      <c r="G104" s="31"/>
      <c r="H104" s="31"/>
      <c r="I104" s="31"/>
    </row>
    <row r="105" spans="2:9" ht="12.75">
      <c r="B105" s="31"/>
      <c r="C105" s="31"/>
      <c r="D105" s="31"/>
      <c r="E105" s="31"/>
      <c r="F105" s="31"/>
      <c r="G105" s="31"/>
      <c r="H105" s="31"/>
      <c r="I105" s="31"/>
    </row>
  </sheetData>
  <sheetProtection password="CAF5" sheet="1" objects="1" scenarios="1"/>
  <mergeCells count="8">
    <mergeCell ref="F6:F9"/>
    <mergeCell ref="B6:B9"/>
    <mergeCell ref="I6:I9"/>
    <mergeCell ref="D6:D8"/>
    <mergeCell ref="E6:E8"/>
    <mergeCell ref="G6:G8"/>
    <mergeCell ref="H6:H9"/>
    <mergeCell ref="C7:C8"/>
  </mergeCells>
  <printOptions horizontalCentered="1"/>
  <pageMargins left="0.7" right="0.75" top="0.83" bottom="0.84" header="0.67" footer="0.5"/>
  <pageSetup fitToHeight="1" fitToWidth="1" horizontalDpi="600" verticalDpi="600" orientation="landscape" scale="91" r:id="rId1"/>
  <headerFooter alignWithMargins="0">
    <oddFooter>&amp;L&amp;"Arial,Italic"&amp;9MSDE-DBS 10 / 2007&amp;C- 19 -&amp;R&amp;"Arial,Italic"&amp;9Selected Financial Data-Part 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5"/>
  <sheetViews>
    <sheetView workbookViewId="0" topLeftCell="A16">
      <selection activeCell="G24" sqref="G24"/>
    </sheetView>
  </sheetViews>
  <sheetFormatPr defaultColWidth="9.140625" defaultRowHeight="12.75"/>
  <cols>
    <col min="1" max="1" width="14.140625" style="127" customWidth="1"/>
    <col min="2" max="2" width="14.8515625" style="127" customWidth="1"/>
    <col min="3" max="3" width="16.57421875" style="127" bestFit="1" customWidth="1"/>
    <col min="4" max="4" width="14.00390625" style="127" bestFit="1" customWidth="1"/>
    <col min="5" max="5" width="15.140625" style="127" bestFit="1" customWidth="1"/>
    <col min="6" max="6" width="15.00390625" style="127" bestFit="1" customWidth="1"/>
    <col min="7" max="7" width="12.8515625" style="127" bestFit="1" customWidth="1"/>
    <col min="8" max="8" width="2.7109375" style="127" customWidth="1"/>
    <col min="9" max="12" width="9.140625" style="127" customWidth="1"/>
    <col min="14" max="14" width="16.00390625" style="63" bestFit="1" customWidth="1"/>
    <col min="15" max="15" width="15.00390625" style="64" bestFit="1" customWidth="1"/>
    <col min="16" max="16" width="14.00390625" style="64" bestFit="1" customWidth="1"/>
    <col min="17" max="17" width="16.00390625" style="64" bestFit="1" customWidth="1"/>
  </cols>
  <sheetData>
    <row r="1" spans="1:12" ht="12.75">
      <c r="A1" s="451" t="s">
        <v>108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 ht="12.75">
      <c r="A2" s="25"/>
      <c r="B2" s="25"/>
      <c r="C2" s="125"/>
      <c r="D2" s="126"/>
      <c r="E2" s="25"/>
      <c r="F2" s="25"/>
      <c r="G2" s="25"/>
      <c r="H2" s="25"/>
      <c r="I2" s="25"/>
      <c r="J2" s="25"/>
      <c r="K2" s="25"/>
      <c r="L2" s="25"/>
    </row>
    <row r="3" spans="1:17" s="39" customFormat="1" ht="12.75">
      <c r="A3" s="452" t="s">
        <v>254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N3" s="92"/>
      <c r="O3" s="124"/>
      <c r="P3" s="124"/>
      <c r="Q3" s="124"/>
    </row>
    <row r="4" spans="1:12" ht="12.75">
      <c r="A4" s="453" t="s">
        <v>156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</row>
    <row r="5" ht="13.5" thickBot="1">
      <c r="I5" s="128"/>
    </row>
    <row r="6" spans="1:59" ht="15" customHeight="1" thickTop="1">
      <c r="A6" s="129" t="s">
        <v>99</v>
      </c>
      <c r="B6" s="130" t="s">
        <v>52</v>
      </c>
      <c r="C6" s="449" t="s">
        <v>102</v>
      </c>
      <c r="D6" s="449"/>
      <c r="E6" s="450"/>
      <c r="F6" s="450"/>
      <c r="G6" s="129"/>
      <c r="H6" s="129"/>
      <c r="I6" s="449" t="s">
        <v>104</v>
      </c>
      <c r="J6" s="449"/>
      <c r="K6" s="449"/>
      <c r="L6" s="449"/>
      <c r="M6" s="19"/>
      <c r="N6" s="109"/>
      <c r="O6" s="95"/>
      <c r="P6" s="95"/>
      <c r="Q6" s="95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12" ht="12.75">
      <c r="A7" s="131" t="s">
        <v>41</v>
      </c>
      <c r="B7" s="132" t="s">
        <v>105</v>
      </c>
      <c r="C7" s="448" t="s">
        <v>99</v>
      </c>
      <c r="D7" s="448"/>
      <c r="E7" s="133"/>
      <c r="F7" s="133"/>
      <c r="G7" s="132" t="s">
        <v>101</v>
      </c>
      <c r="H7" s="132"/>
      <c r="I7" s="134"/>
      <c r="J7" s="134"/>
      <c r="K7" s="134"/>
      <c r="L7" s="134" t="s">
        <v>101</v>
      </c>
    </row>
    <row r="8" spans="1:12" ht="13.5" thickBot="1">
      <c r="A8" s="135" t="s">
        <v>143</v>
      </c>
      <c r="B8" s="136" t="s">
        <v>106</v>
      </c>
      <c r="C8" s="137" t="s">
        <v>325</v>
      </c>
      <c r="D8" s="137" t="s">
        <v>334</v>
      </c>
      <c r="E8" s="137" t="s">
        <v>53</v>
      </c>
      <c r="F8" s="137" t="s">
        <v>65</v>
      </c>
      <c r="G8" s="137" t="s">
        <v>103</v>
      </c>
      <c r="H8" s="137"/>
      <c r="I8" s="136" t="s">
        <v>99</v>
      </c>
      <c r="J8" s="136" t="s">
        <v>53</v>
      </c>
      <c r="K8" s="138" t="s">
        <v>65</v>
      </c>
      <c r="L8" s="137" t="s">
        <v>103</v>
      </c>
    </row>
    <row r="9" spans="1:17" ht="12.75">
      <c r="A9" s="139" t="s">
        <v>0</v>
      </c>
      <c r="B9" s="140">
        <f aca="true" t="shared" si="0" ref="B9:G9">SUM(B11:B38)</f>
        <v>9327121263.91</v>
      </c>
      <c r="C9" s="140">
        <f t="shared" si="0"/>
        <v>4576720062.33</v>
      </c>
      <c r="D9" s="140">
        <f t="shared" si="0"/>
        <v>94840653.96999998</v>
      </c>
      <c r="E9" s="140">
        <f t="shared" si="0"/>
        <v>3985323428.8899994</v>
      </c>
      <c r="F9" s="140">
        <f t="shared" si="0"/>
        <v>651260797.69</v>
      </c>
      <c r="G9" s="140">
        <f t="shared" si="0"/>
        <v>18976321.029999997</v>
      </c>
      <c r="H9" s="140"/>
      <c r="I9" s="286">
        <f>IF(B9&lt;&gt;0,((+C9+D9)/B9*100),(IF(C9&lt;&gt;0,1,0)))</f>
        <v>50.08577227762606</v>
      </c>
      <c r="J9" s="286">
        <f>IF($B9&lt;&gt;0,(E9/$B9*100),(IF(E9&lt;&gt;0,1,0)))</f>
        <v>42.72833295639304</v>
      </c>
      <c r="K9" s="286">
        <f aca="true" t="shared" si="1" ref="K9:L26">IF($B9&lt;&gt;0,(F9/$B9*100),(IF(F9&lt;&gt;0,1,0)))</f>
        <v>6.982441626549482</v>
      </c>
      <c r="L9" s="286">
        <f t="shared" si="1"/>
        <v>0.2034531394314153</v>
      </c>
      <c r="M9" s="290"/>
      <c r="N9" s="96"/>
      <c r="O9" s="96"/>
      <c r="P9" s="96"/>
      <c r="Q9" s="96"/>
    </row>
    <row r="10" spans="1:14" ht="12.75">
      <c r="A10" s="139"/>
      <c r="B10" s="141"/>
      <c r="C10" s="142"/>
      <c r="D10" s="143"/>
      <c r="E10" s="144"/>
      <c r="F10" s="144"/>
      <c r="G10" s="144"/>
      <c r="H10" s="144"/>
      <c r="I10" s="145"/>
      <c r="J10" s="145"/>
      <c r="K10" s="145"/>
      <c r="L10" s="145"/>
      <c r="M10" s="64"/>
      <c r="N10" s="93"/>
    </row>
    <row r="11" spans="1:17" ht="12.75">
      <c r="A11" s="146" t="s">
        <v>1</v>
      </c>
      <c r="B11" s="233">
        <f aca="true" t="shared" si="2" ref="B11:B38">SUM(C11:G11)</f>
        <v>104427917.24000001</v>
      </c>
      <c r="C11" s="233">
        <v>26639035.56</v>
      </c>
      <c r="D11" s="233">
        <v>810302.9</v>
      </c>
      <c r="E11" s="233">
        <f>state1!C12+'table 6'!G12</f>
        <v>64946381.56</v>
      </c>
      <c r="F11" s="35">
        <f>fed1!B12-'table 6'!I12</f>
        <v>11756738.82</v>
      </c>
      <c r="G11" s="233">
        <v>275458.4</v>
      </c>
      <c r="H11" s="285"/>
      <c r="I11" s="286">
        <f>IF(B11&lt;&gt;0,((+C11+D11)/B11*100),(IF(C11&lt;&gt;0,1,0)))</f>
        <v>26.285440891169877</v>
      </c>
      <c r="J11" s="286">
        <f>IF($B11&lt;&gt;0,(E11/$B11*100),(IF(E11&lt;&gt;0,1,0)))</f>
        <v>62.192547047297595</v>
      </c>
      <c r="K11" s="286">
        <f t="shared" si="1"/>
        <v>11.258233555477544</v>
      </c>
      <c r="L11" s="286">
        <f t="shared" si="1"/>
        <v>0.2637785060549772</v>
      </c>
      <c r="M11" s="217"/>
      <c r="N11" s="97"/>
      <c r="Q11" s="98"/>
    </row>
    <row r="12" spans="1:17" ht="12.75">
      <c r="A12" s="146" t="s">
        <v>2</v>
      </c>
      <c r="B12" s="233">
        <f t="shared" si="2"/>
        <v>740433844.5</v>
      </c>
      <c r="C12" s="233">
        <v>449214000</v>
      </c>
      <c r="D12" s="175">
        <v>6805076.049999999</v>
      </c>
      <c r="E12" s="233">
        <f>state1!C13+'table 6'!G13</f>
        <v>240091446.84999996</v>
      </c>
      <c r="F12" s="35">
        <f>fed1!B13-'table 6'!I13</f>
        <v>44314551.60000001</v>
      </c>
      <c r="G12" s="233">
        <v>8770</v>
      </c>
      <c r="H12" s="287"/>
      <c r="I12" s="286">
        <f>IF(B12&lt;&gt;0,((+C12+D12)/B12*100),(IF(C12&lt;&gt;0,1,0)))</f>
        <v>61.58809182445468</v>
      </c>
      <c r="J12" s="286">
        <f>IF($B12&lt;&gt;0,(E12/$B12*100),(IF(E12&lt;&gt;0,1,0)))</f>
        <v>32.425779647083644</v>
      </c>
      <c r="K12" s="286">
        <f t="shared" si="1"/>
        <v>5.98494408773612</v>
      </c>
      <c r="L12" s="286">
        <f t="shared" si="1"/>
        <v>0.0011844407255481688</v>
      </c>
      <c r="M12" s="218"/>
      <c r="N12" s="97"/>
      <c r="Q12" s="98"/>
    </row>
    <row r="13" spans="1:17" ht="12.75">
      <c r="A13" s="146" t="s">
        <v>3</v>
      </c>
      <c r="B13" s="233">
        <f t="shared" si="2"/>
        <v>1064616810.3799999</v>
      </c>
      <c r="C13" s="233">
        <f>207767545.1-7725372.3</f>
        <v>200042172.79999998</v>
      </c>
      <c r="D13" s="233">
        <v>15227636.959999997</v>
      </c>
      <c r="E13" s="233">
        <f>state1!C14+'table 6'!G14</f>
        <v>718701798.1899999</v>
      </c>
      <c r="F13" s="35">
        <f>fed1!B14-'table 6'!I14</f>
        <v>130645202.42999999</v>
      </c>
      <c r="G13" s="233">
        <v>0</v>
      </c>
      <c r="H13" s="287"/>
      <c r="I13" s="286">
        <f>IF(B13&lt;&gt;0,((+C13+D13)/B13*100),(IF(C13&lt;&gt;0,1,0)))</f>
        <v>20.22040302774878</v>
      </c>
      <c r="J13" s="286">
        <f>IF($B13&lt;&gt;0,(E13/$B13*100),(IF(E13&lt;&gt;0,1,0)))</f>
        <v>67.50802647324998</v>
      </c>
      <c r="K13" s="286">
        <f t="shared" si="1"/>
        <v>12.271570499001236</v>
      </c>
      <c r="L13" s="286">
        <f t="shared" si="1"/>
        <v>0</v>
      </c>
      <c r="M13" s="218"/>
      <c r="N13" s="97"/>
      <c r="Q13" s="98"/>
    </row>
    <row r="14" spans="1:17" ht="12.75">
      <c r="A14" s="146" t="s">
        <v>4</v>
      </c>
      <c r="B14" s="233">
        <f t="shared" si="2"/>
        <v>1131270248.9</v>
      </c>
      <c r="C14" s="233">
        <v>591809878.86</v>
      </c>
      <c r="D14" s="233">
        <v>5415674.489999998</v>
      </c>
      <c r="E14" s="233">
        <f>state1!C15+'table 6'!G15</f>
        <v>439865031.65</v>
      </c>
      <c r="F14" s="35">
        <f>fed1!B15-'table 6'!I15</f>
        <v>84270816.89999999</v>
      </c>
      <c r="G14" s="56">
        <v>9908847</v>
      </c>
      <c r="H14" s="287"/>
      <c r="I14" s="286">
        <f>IF(B14&lt;&gt;0,((+C14+D14)/B14*100),(IF(C14&lt;&gt;0,1,0)))</f>
        <v>52.792474117543286</v>
      </c>
      <c r="J14" s="286">
        <f>IF($B14&lt;&gt;0,(E14/$B14*100),(IF(E14&lt;&gt;0,1,0)))</f>
        <v>38.88240074179502</v>
      </c>
      <c r="K14" s="286">
        <f t="shared" si="1"/>
        <v>7.44922064218885</v>
      </c>
      <c r="L14" s="286">
        <f t="shared" si="1"/>
        <v>0.8759044984728406</v>
      </c>
      <c r="M14" s="218"/>
      <c r="N14" s="97"/>
      <c r="Q14" s="98"/>
    </row>
    <row r="15" spans="1:17" ht="12.75">
      <c r="A15" s="146" t="s">
        <v>5</v>
      </c>
      <c r="B15" s="233">
        <f t="shared" si="2"/>
        <v>171939271.82000002</v>
      </c>
      <c r="C15" s="233">
        <v>85712612</v>
      </c>
      <c r="D15" s="233">
        <v>2880686.74</v>
      </c>
      <c r="E15" s="233">
        <f>state1!C16+'table 6'!G16</f>
        <v>75008673.5</v>
      </c>
      <c r="F15" s="35">
        <f>fed1!B16-'table 6'!I16</f>
        <v>8337299.580000001</v>
      </c>
      <c r="G15" s="56">
        <v>0</v>
      </c>
      <c r="H15" s="287"/>
      <c r="I15" s="286">
        <f>IF(B15&lt;&gt;0,((+C15+D15)/B15*100),(IF(C15&lt;&gt;0,1,0)))</f>
        <v>51.5259241255521</v>
      </c>
      <c r="J15" s="286">
        <f>IF($B15&lt;&gt;0,(E15/$B15*100),(IF(E15&lt;&gt;0,1,0)))</f>
        <v>43.625096643729634</v>
      </c>
      <c r="K15" s="286">
        <f t="shared" si="1"/>
        <v>4.8489792307182515</v>
      </c>
      <c r="L15" s="286">
        <f t="shared" si="1"/>
        <v>0</v>
      </c>
      <c r="M15" s="218"/>
      <c r="N15" s="97"/>
      <c r="Q15" s="98"/>
    </row>
    <row r="16" spans="1:14" ht="12.75">
      <c r="A16" s="146"/>
      <c r="B16" s="233"/>
      <c r="C16" s="233"/>
      <c r="D16" s="233"/>
      <c r="E16" s="233"/>
      <c r="F16" s="35"/>
      <c r="G16" s="56"/>
      <c r="H16" s="287"/>
      <c r="I16" s="286"/>
      <c r="J16" s="286"/>
      <c r="K16" s="286"/>
      <c r="L16" s="286"/>
      <c r="M16" s="218"/>
      <c r="N16" s="97"/>
    </row>
    <row r="17" spans="1:17" ht="12.75">
      <c r="A17" s="146" t="s">
        <v>6</v>
      </c>
      <c r="B17" s="233">
        <f t="shared" si="2"/>
        <v>51404370.34</v>
      </c>
      <c r="C17" s="175">
        <v>11300000</v>
      </c>
      <c r="D17" s="233">
        <v>389121.13</v>
      </c>
      <c r="E17" s="233">
        <f>state1!C18+'table 6'!G18</f>
        <v>34256719.46</v>
      </c>
      <c r="F17" s="35">
        <f>fed1!B18-'table 6'!I18</f>
        <v>5458529.75</v>
      </c>
      <c r="G17" s="56">
        <v>0</v>
      </c>
      <c r="H17" s="287"/>
      <c r="I17" s="286">
        <f>IF(B17&lt;&gt;0,((+C17+D17)/B17*100),(IF(C17&lt;&gt;0,1,0)))</f>
        <v>22.739547343320304</v>
      </c>
      <c r="J17" s="286">
        <f>IF($B17&lt;&gt;0,(E17/$B17*100),(IF(E17&lt;&gt;0,1,0)))</f>
        <v>66.64164784709627</v>
      </c>
      <c r="K17" s="286">
        <f t="shared" si="1"/>
        <v>10.618804809583434</v>
      </c>
      <c r="L17" s="286">
        <f t="shared" si="1"/>
        <v>0</v>
      </c>
      <c r="M17" s="218"/>
      <c r="N17" s="97"/>
      <c r="Q17" s="98"/>
    </row>
    <row r="18" spans="1:17" ht="12.75">
      <c r="A18" s="146" t="s">
        <v>7</v>
      </c>
      <c r="B18" s="233">
        <f t="shared" si="2"/>
        <v>276137683.59</v>
      </c>
      <c r="C18" s="175">
        <v>135806760</v>
      </c>
      <c r="D18" s="233">
        <v>1895039</v>
      </c>
      <c r="E18" s="233">
        <f>state1!C19+'table 6'!G19</f>
        <v>124284590.75999999</v>
      </c>
      <c r="F18" s="35">
        <f>fed1!B19-'table 6'!I19</f>
        <v>13603655.83</v>
      </c>
      <c r="G18" s="56">
        <v>547638</v>
      </c>
      <c r="H18" s="287"/>
      <c r="I18" s="286">
        <f>IF(B18&lt;&gt;0,((+C18+D18)/B18*100),(IF(C18&lt;&gt;0,1,0)))</f>
        <v>49.8670797877971</v>
      </c>
      <c r="J18" s="286">
        <f>IF($B18&lt;&gt;0,(E18/$B18*100),(IF(E18&lt;&gt;0,1,0)))</f>
        <v>45.008196325907335</v>
      </c>
      <c r="K18" s="286">
        <f t="shared" si="1"/>
        <v>4.926403254036944</v>
      </c>
      <c r="L18" s="286">
        <f t="shared" si="1"/>
        <v>0.19832063225862165</v>
      </c>
      <c r="M18" s="218"/>
      <c r="N18" s="97"/>
      <c r="Q18" s="98"/>
    </row>
    <row r="19" spans="1:17" ht="12.75">
      <c r="A19" s="146" t="s">
        <v>8</v>
      </c>
      <c r="B19" s="233">
        <f t="shared" si="2"/>
        <v>157514533.51000002</v>
      </c>
      <c r="C19" s="175">
        <v>62229000</v>
      </c>
      <c r="D19" s="233">
        <v>1322935.11</v>
      </c>
      <c r="E19" s="233">
        <f>state1!C20+'table 6'!G20</f>
        <v>83971213.36000001</v>
      </c>
      <c r="F19" s="35">
        <f>fed1!B20-'table 6'!I20</f>
        <v>9985010.040000001</v>
      </c>
      <c r="G19" s="56">
        <v>6375</v>
      </c>
      <c r="H19" s="287"/>
      <c r="I19" s="286">
        <f>IF(B19&lt;&gt;0,((+C19+D19)/B19*100),(IF(C19&lt;&gt;0,1,0)))</f>
        <v>40.346711947037775</v>
      </c>
      <c r="J19" s="286">
        <f>IF($B19&lt;&gt;0,(E19/$B19*100),(IF(E19&lt;&gt;0,1,0)))</f>
        <v>53.310136841861</v>
      </c>
      <c r="K19" s="286">
        <f t="shared" si="1"/>
        <v>6.3391039655182615</v>
      </c>
      <c r="L19" s="286">
        <f t="shared" si="1"/>
        <v>0.0040472455829577625</v>
      </c>
      <c r="M19" s="218"/>
      <c r="N19" s="97"/>
      <c r="Q19" s="98"/>
    </row>
    <row r="20" spans="1:17" ht="12.75">
      <c r="A20" s="146" t="s">
        <v>9</v>
      </c>
      <c r="B20" s="233">
        <f t="shared" si="2"/>
        <v>253412599.72</v>
      </c>
      <c r="C20" s="175">
        <v>112217000</v>
      </c>
      <c r="D20" s="233">
        <v>3956353.19</v>
      </c>
      <c r="E20" s="233">
        <f>state1!C21+'table 6'!G21</f>
        <v>122875697.08000001</v>
      </c>
      <c r="F20" s="35">
        <f>fed1!B21-'table 6'!I21</f>
        <v>14363549.45</v>
      </c>
      <c r="G20" s="56">
        <v>0</v>
      </c>
      <c r="H20" s="287"/>
      <c r="I20" s="286">
        <f>IF(B20&lt;&gt;0,((+C20+D20)/B20*100),(IF(C20&lt;&gt;0,1,0)))</f>
        <v>45.84355841752224</v>
      </c>
      <c r="J20" s="286">
        <f>IF($B20&lt;&gt;0,(E20/$B20*100),(IF(E20&lt;&gt;0,1,0)))</f>
        <v>48.488392927489606</v>
      </c>
      <c r="K20" s="286">
        <f t="shared" si="1"/>
        <v>5.668048654988164</v>
      </c>
      <c r="L20" s="286">
        <f t="shared" si="1"/>
        <v>0</v>
      </c>
      <c r="M20" s="218"/>
      <c r="N20" s="97"/>
      <c r="Q20" s="98"/>
    </row>
    <row r="21" spans="1:17" ht="12.75">
      <c r="A21" s="146" t="s">
        <v>10</v>
      </c>
      <c r="B21" s="233">
        <f t="shared" si="2"/>
        <v>48279369.44</v>
      </c>
      <c r="C21" s="175">
        <v>15422902</v>
      </c>
      <c r="D21" s="233">
        <v>933327.91</v>
      </c>
      <c r="E21" s="233">
        <f>state1!C22+'table 6'!G22</f>
        <v>26165660.309999995</v>
      </c>
      <c r="F21" s="35">
        <f>fed1!B22-'table 6'!I22</f>
        <v>5757479.22</v>
      </c>
      <c r="G21" s="56">
        <v>0</v>
      </c>
      <c r="H21" s="287"/>
      <c r="I21" s="286">
        <f>IF(B21&lt;&gt;0,((+C21+D21)/B21*100),(IF(C21&lt;&gt;0,1,0)))</f>
        <v>33.878300606902044</v>
      </c>
      <c r="J21" s="286">
        <f>IF($B21&lt;&gt;0,(E21/$B21*100),(IF(E21&lt;&gt;0,1,0)))</f>
        <v>54.196358845402514</v>
      </c>
      <c r="K21" s="286">
        <f t="shared" si="1"/>
        <v>11.925340547695438</v>
      </c>
      <c r="L21" s="286">
        <f t="shared" si="1"/>
        <v>0</v>
      </c>
      <c r="M21" s="218"/>
      <c r="N21" s="97"/>
      <c r="Q21" s="98"/>
    </row>
    <row r="22" spans="1:14" ht="12.75">
      <c r="A22" s="146"/>
      <c r="B22" s="233"/>
      <c r="C22" s="233"/>
      <c r="D22" s="233"/>
      <c r="E22" s="233"/>
      <c r="F22" s="35"/>
      <c r="G22" s="56"/>
      <c r="H22" s="287"/>
      <c r="I22" s="286"/>
      <c r="J22" s="286"/>
      <c r="K22" s="286"/>
      <c r="L22" s="286"/>
      <c r="M22" s="218"/>
      <c r="N22" s="97"/>
    </row>
    <row r="23" spans="1:17" ht="12.75">
      <c r="A23" s="146" t="s">
        <v>11</v>
      </c>
      <c r="B23" s="233">
        <f t="shared" si="2"/>
        <v>377409912.98</v>
      </c>
      <c r="C23" s="233">
        <v>188694907.86</v>
      </c>
      <c r="D23" s="233">
        <v>3964771.74</v>
      </c>
      <c r="E23" s="233">
        <f>state1!C24+'table 6'!G24</f>
        <v>168157634.98000002</v>
      </c>
      <c r="F23" s="35">
        <f>fed1!B24-'table 6'!I24</f>
        <v>16592598.399999999</v>
      </c>
      <c r="G23" s="56">
        <v>0</v>
      </c>
      <c r="H23" s="287"/>
      <c r="I23" s="286">
        <f>IF(B23&lt;&gt;0,((+C23+D23)/B23*100),(IF(C23&lt;&gt;0,1,0)))</f>
        <v>51.047858833058676</v>
      </c>
      <c r="J23" s="286">
        <f aca="true" t="shared" si="3" ref="J23:L27">IF($B23&lt;&gt;0,(E23/$B23*100),(IF(E23&lt;&gt;0,1,0)))</f>
        <v>44.555701691097646</v>
      </c>
      <c r="K23" s="286">
        <f t="shared" si="1"/>
        <v>4.396439475843679</v>
      </c>
      <c r="L23" s="286">
        <f t="shared" si="1"/>
        <v>0</v>
      </c>
      <c r="M23" s="218"/>
      <c r="N23" s="97"/>
      <c r="Q23" s="98"/>
    </row>
    <row r="24" spans="1:17" ht="12.75">
      <c r="A24" s="146" t="s">
        <v>12</v>
      </c>
      <c r="B24" s="233">
        <f t="shared" si="2"/>
        <v>48167895.27</v>
      </c>
      <c r="C24" s="233">
        <v>18830157.5</v>
      </c>
      <c r="D24" s="233">
        <v>374828.24</v>
      </c>
      <c r="E24" s="233">
        <f>state1!C25+'table 6'!G25</f>
        <v>23679027.85</v>
      </c>
      <c r="F24" s="35">
        <f>fed1!B25-'table 6'!I25</f>
        <v>5274181.94</v>
      </c>
      <c r="G24" s="56">
        <v>9699.74</v>
      </c>
      <c r="H24" s="287"/>
      <c r="I24" s="286">
        <f>IF(B24&lt;&gt;0,((+C24+D24)/B24*100),(IF(C24&lt;&gt;0,1,0)))</f>
        <v>39.87092571171835</v>
      </c>
      <c r="J24" s="286">
        <f t="shared" si="3"/>
        <v>49.159357529054844</v>
      </c>
      <c r="K24" s="286">
        <f t="shared" si="1"/>
        <v>10.949579404364952</v>
      </c>
      <c r="L24" s="286">
        <f t="shared" si="1"/>
        <v>0.02013735486184136</v>
      </c>
      <c r="M24" s="218"/>
      <c r="N24" s="97"/>
      <c r="Q24" s="98"/>
    </row>
    <row r="25" spans="1:17" ht="12.75">
      <c r="A25" s="146" t="s">
        <v>13</v>
      </c>
      <c r="B25" s="233">
        <f t="shared" si="2"/>
        <v>385150504.7</v>
      </c>
      <c r="C25" s="233">
        <v>175414800</v>
      </c>
      <c r="D25" s="233">
        <v>2378642.25</v>
      </c>
      <c r="E25" s="233">
        <f>state1!C26+'table 6'!G26</f>
        <v>181813465.4</v>
      </c>
      <c r="F25" s="35">
        <f>fed1!B26-'table 6'!I26</f>
        <v>23031331.35</v>
      </c>
      <c r="G25" s="56">
        <v>2512265.7</v>
      </c>
      <c r="H25" s="287"/>
      <c r="I25" s="286">
        <f>IF(B25&lt;&gt;0,((+C25+D25)/B25*100),(IF(C25&lt;&gt;0,1,0)))</f>
        <v>46.162069134113224</v>
      </c>
      <c r="J25" s="286">
        <f t="shared" si="3"/>
        <v>47.205822965652736</v>
      </c>
      <c r="K25" s="286">
        <f t="shared" si="1"/>
        <v>5.979826345531984</v>
      </c>
      <c r="L25" s="286">
        <f t="shared" si="1"/>
        <v>0.6522815547020624</v>
      </c>
      <c r="M25" s="218"/>
      <c r="N25" s="97"/>
      <c r="Q25" s="98"/>
    </row>
    <row r="26" spans="1:17" ht="12.75">
      <c r="A26" s="146" t="s">
        <v>14</v>
      </c>
      <c r="B26" s="233">
        <f t="shared" si="2"/>
        <v>554290603.53</v>
      </c>
      <c r="C26" s="233">
        <v>362590015</v>
      </c>
      <c r="D26" s="233">
        <v>7602149.8999999985</v>
      </c>
      <c r="E26" s="233">
        <f>state1!C27+'table 6'!G27</f>
        <v>166224990.67</v>
      </c>
      <c r="F26" s="35">
        <f>fed1!B27-'table 6'!I27</f>
        <v>17491256.96</v>
      </c>
      <c r="G26" s="56">
        <v>382191</v>
      </c>
      <c r="H26" s="287"/>
      <c r="I26" s="286">
        <f>IF(B26&lt;&gt;0,((+C26+D26)/B26*100),(IF(C26&lt;&gt;0,1,0)))</f>
        <v>66.78665713299684</v>
      </c>
      <c r="J26" s="286">
        <f t="shared" si="3"/>
        <v>29.988780183426538</v>
      </c>
      <c r="K26" s="286">
        <f t="shared" si="1"/>
        <v>3.155611307246943</v>
      </c>
      <c r="L26" s="286">
        <f t="shared" si="1"/>
        <v>0.06895137632967552</v>
      </c>
      <c r="M26" s="218"/>
      <c r="N26" s="97"/>
      <c r="Q26" s="98"/>
    </row>
    <row r="27" spans="1:17" ht="12.75">
      <c r="A27" s="146" t="s">
        <v>15</v>
      </c>
      <c r="B27" s="233">
        <f t="shared" si="2"/>
        <v>27383388.39</v>
      </c>
      <c r="C27" s="233">
        <v>14275613</v>
      </c>
      <c r="D27" s="233">
        <v>289282.1</v>
      </c>
      <c r="E27" s="233">
        <f>state1!C28+'table 6'!G28</f>
        <v>9610298.780000001</v>
      </c>
      <c r="F27" s="35">
        <f>fed1!B28-'table 6'!I28</f>
        <v>3208194.51</v>
      </c>
      <c r="G27" s="56">
        <v>0</v>
      </c>
      <c r="H27" s="287"/>
      <c r="I27" s="286">
        <f>IF(B27&lt;&gt;0,((+C27+D27)/B27*100),(IF(C27&lt;&gt;0,1,0)))</f>
        <v>53.18879786739203</v>
      </c>
      <c r="J27" s="286">
        <f t="shared" si="3"/>
        <v>35.0953601618912</v>
      </c>
      <c r="K27" s="286">
        <f t="shared" si="3"/>
        <v>11.715841970716758</v>
      </c>
      <c r="L27" s="286">
        <f t="shared" si="3"/>
        <v>0</v>
      </c>
      <c r="M27" s="218"/>
      <c r="N27" s="97"/>
      <c r="Q27" s="98"/>
    </row>
    <row r="28" spans="1:14" ht="12.75">
      <c r="A28" s="146"/>
      <c r="B28" s="233"/>
      <c r="C28" s="233"/>
      <c r="D28" s="233"/>
      <c r="E28" s="233"/>
      <c r="F28" s="35"/>
      <c r="G28" s="56"/>
      <c r="H28" s="287"/>
      <c r="I28" s="286"/>
      <c r="J28" s="286"/>
      <c r="K28" s="286"/>
      <c r="L28" s="286"/>
      <c r="M28" s="218"/>
      <c r="N28" s="97"/>
    </row>
    <row r="29" spans="1:17" ht="12.75">
      <c r="A29" s="146" t="s">
        <v>16</v>
      </c>
      <c r="B29" s="233">
        <f t="shared" si="2"/>
        <v>1777727961.85</v>
      </c>
      <c r="C29" s="233">
        <v>1283070184.52</v>
      </c>
      <c r="D29" s="233">
        <v>14872874.56</v>
      </c>
      <c r="E29" s="233">
        <f>state1!C30+'table 6'!G30</f>
        <v>389842740.46</v>
      </c>
      <c r="F29" s="35">
        <f>fed1!B30-'table 6'!I30</f>
        <v>89107499.31</v>
      </c>
      <c r="G29" s="56">
        <v>834663</v>
      </c>
      <c r="H29" s="287"/>
      <c r="I29" s="286">
        <f>IF(B29&lt;&gt;0,((+C29+D29)/B29*100),(IF(C29&lt;&gt;0,1,0)))</f>
        <v>73.0113429576306</v>
      </c>
      <c r="J29" s="286">
        <f aca="true" t="shared" si="4" ref="J29:L33">IF($B29&lt;&gt;0,(E29/$B29*100),(IF(E29&lt;&gt;0,1,0)))</f>
        <v>21.92926864098535</v>
      </c>
      <c r="K29" s="286">
        <f t="shared" si="4"/>
        <v>5.0124372919954485</v>
      </c>
      <c r="L29" s="286">
        <f t="shared" si="4"/>
        <v>0.04695110938860435</v>
      </c>
      <c r="M29" s="218"/>
      <c r="N29" s="97"/>
      <c r="Q29" s="98"/>
    </row>
    <row r="30" spans="1:17" ht="12.75">
      <c r="A30" s="146" t="s">
        <v>17</v>
      </c>
      <c r="B30" s="233">
        <f t="shared" si="2"/>
        <v>1419195087.36</v>
      </c>
      <c r="C30" s="233">
        <v>522227299.25</v>
      </c>
      <c r="D30" s="233">
        <v>18979807.78</v>
      </c>
      <c r="E30" s="233">
        <f>state1!C31+'table 6'!G31</f>
        <v>772661151</v>
      </c>
      <c r="F30" s="35">
        <f>fed1!B31-'table 6'!I31</f>
        <v>105326829.33000001</v>
      </c>
      <c r="G30" s="56">
        <v>0</v>
      </c>
      <c r="H30" s="287"/>
      <c r="I30" s="286">
        <f>IF(B30&lt;&gt;0,((+C30+D30)/B30*100),(IF(C30&lt;&gt;0,1,0)))</f>
        <v>38.13479287310376</v>
      </c>
      <c r="J30" s="286">
        <f t="shared" si="4"/>
        <v>54.44361792692727</v>
      </c>
      <c r="K30" s="286">
        <f t="shared" si="4"/>
        <v>7.421589199968976</v>
      </c>
      <c r="L30" s="286">
        <f t="shared" si="4"/>
        <v>0</v>
      </c>
      <c r="M30" s="218"/>
      <c r="N30" s="97"/>
      <c r="Q30" s="98"/>
    </row>
    <row r="31" spans="1:17" ht="12.75">
      <c r="A31" s="146" t="s">
        <v>18</v>
      </c>
      <c r="B31" s="233">
        <f t="shared" si="2"/>
        <v>71465279.30000001</v>
      </c>
      <c r="C31" s="233">
        <v>38174413</v>
      </c>
      <c r="D31" s="175">
        <v>619586.1</v>
      </c>
      <c r="E31" s="233">
        <f>state1!C32+'table 6'!G32</f>
        <v>27142022.16</v>
      </c>
      <c r="F31" s="35">
        <f>fed1!B32-'table 6'!I32</f>
        <v>5529258.04</v>
      </c>
      <c r="G31" s="56">
        <v>0</v>
      </c>
      <c r="H31" s="287"/>
      <c r="I31" s="286">
        <f>IF(B31&lt;&gt;0,((+C31+D31)/B31*100),(IF(C31&lt;&gt;0,1,0)))</f>
        <v>54.28370179195535</v>
      </c>
      <c r="J31" s="286">
        <f t="shared" si="4"/>
        <v>37.97931306762555</v>
      </c>
      <c r="K31" s="286">
        <f t="shared" si="4"/>
        <v>7.7369851404190895</v>
      </c>
      <c r="L31" s="286">
        <f t="shared" si="4"/>
        <v>0</v>
      </c>
      <c r="M31" s="218"/>
      <c r="N31" s="97"/>
      <c r="Q31" s="98"/>
    </row>
    <row r="32" spans="1:17" ht="12.75">
      <c r="A32" s="146" t="s">
        <v>19</v>
      </c>
      <c r="B32" s="233">
        <f t="shared" si="2"/>
        <v>158181928.24999997</v>
      </c>
      <c r="C32" s="233">
        <v>62634224</v>
      </c>
      <c r="D32" s="175">
        <v>1138493.86</v>
      </c>
      <c r="E32" s="233">
        <f>state1!C33+'table 6'!G33</f>
        <v>77865931.16999999</v>
      </c>
      <c r="F32" s="35">
        <f>fed1!B33-'table 6'!I33</f>
        <v>13005687.2</v>
      </c>
      <c r="G32" s="56">
        <v>3537592.02</v>
      </c>
      <c r="H32" s="287"/>
      <c r="I32" s="286">
        <f>IF(B32&lt;&gt;0,((+C32+D32)/B32*100),(IF(C32&lt;&gt;0,1,0)))</f>
        <v>40.31605795019129</v>
      </c>
      <c r="J32" s="286">
        <f t="shared" si="4"/>
        <v>49.22555441790804</v>
      </c>
      <c r="K32" s="286">
        <f t="shared" si="4"/>
        <v>8.221980439791485</v>
      </c>
      <c r="L32" s="286">
        <f t="shared" si="4"/>
        <v>2.2364071921091915</v>
      </c>
      <c r="M32" s="218"/>
      <c r="N32" s="97"/>
      <c r="Q32" s="98"/>
    </row>
    <row r="33" spans="1:17" ht="12.75">
      <c r="A33" s="146" t="s">
        <v>20</v>
      </c>
      <c r="B33" s="233">
        <f t="shared" si="2"/>
        <v>33287185.64</v>
      </c>
      <c r="C33" s="233">
        <v>8547712</v>
      </c>
      <c r="D33" s="233">
        <v>272045.1</v>
      </c>
      <c r="E33" s="233">
        <f>state1!C34+'table 6'!G34</f>
        <v>20259065.189999998</v>
      </c>
      <c r="F33" s="35">
        <f>fed1!B34-'table 6'!I34</f>
        <v>4208363.350000001</v>
      </c>
      <c r="G33" s="56">
        <v>0</v>
      </c>
      <c r="H33" s="287"/>
      <c r="I33" s="286">
        <f>IF(B33&lt;&gt;0,((+C33+D33)/B33*100),(IF(C33&lt;&gt;0,1,0)))</f>
        <v>26.495953113565772</v>
      </c>
      <c r="J33" s="286">
        <f t="shared" si="4"/>
        <v>60.861454041507834</v>
      </c>
      <c r="K33" s="286">
        <f t="shared" si="4"/>
        <v>12.642592844926376</v>
      </c>
      <c r="L33" s="286">
        <f t="shared" si="4"/>
        <v>0</v>
      </c>
      <c r="M33" s="218"/>
      <c r="N33" s="97"/>
      <c r="Q33" s="98"/>
    </row>
    <row r="34" spans="1:14" ht="12.75">
      <c r="A34" s="146"/>
      <c r="B34" s="233"/>
      <c r="C34" s="303"/>
      <c r="D34" s="233"/>
      <c r="E34" s="233"/>
      <c r="F34" s="35"/>
      <c r="G34" s="56"/>
      <c r="H34" s="287"/>
      <c r="I34" s="286"/>
      <c r="J34" s="286"/>
      <c r="K34" s="286"/>
      <c r="L34" s="286"/>
      <c r="M34" s="218"/>
      <c r="N34" s="97"/>
    </row>
    <row r="35" spans="1:17" ht="12.75">
      <c r="A35" s="146" t="s">
        <v>21</v>
      </c>
      <c r="B35" s="233">
        <f t="shared" si="2"/>
        <v>43872480.620000005</v>
      </c>
      <c r="C35" s="233">
        <v>27897682</v>
      </c>
      <c r="D35" s="233">
        <v>737769.87</v>
      </c>
      <c r="E35" s="233">
        <f>state1!C36+'table 6'!G36</f>
        <v>12007444.180000002</v>
      </c>
      <c r="F35" s="35">
        <f>fed1!B36-'table 6'!I36</f>
        <v>3204280.57</v>
      </c>
      <c r="G35" s="56">
        <v>25304</v>
      </c>
      <c r="H35" s="287"/>
      <c r="I35" s="286">
        <f>IF(B35&lt;&gt;0,((+C35+D35)/B35*100),(IF(C35&lt;&gt;0,1,0)))</f>
        <v>65.26973507157024</v>
      </c>
      <c r="J35" s="286">
        <f aca="true" t="shared" si="5" ref="J35:L38">IF($B35&lt;&gt;0,(E35/$B35*100),(IF(E35&lt;&gt;0,1,0)))</f>
        <v>27.368965716805643</v>
      </c>
      <c r="K35" s="286">
        <f t="shared" si="5"/>
        <v>7.30362296527923</v>
      </c>
      <c r="L35" s="286">
        <f t="shared" si="5"/>
        <v>0.057676246344877856</v>
      </c>
      <c r="M35" s="218"/>
      <c r="N35" s="97"/>
      <c r="Q35" s="98"/>
    </row>
    <row r="36" spans="1:17" ht="12.75">
      <c r="A36" s="146" t="s">
        <v>22</v>
      </c>
      <c r="B36" s="233">
        <f t="shared" si="2"/>
        <v>202906558.20999998</v>
      </c>
      <c r="C36" s="233">
        <v>81977718.98</v>
      </c>
      <c r="D36" s="233">
        <v>1181576.89</v>
      </c>
      <c r="E36" s="233">
        <f>state1!C37+'table 6'!G37</f>
        <v>103889579.75999999</v>
      </c>
      <c r="F36" s="35">
        <f>fed1!B37-'table 6'!I37</f>
        <v>15466229.13</v>
      </c>
      <c r="G36" s="56">
        <v>391453.45</v>
      </c>
      <c r="H36" s="287"/>
      <c r="I36" s="286">
        <f>IF(B36&lt;&gt;0,((+C36+D36)/B36*100),(IF(C36&lt;&gt;0,1,0)))</f>
        <v>40.984035510539556</v>
      </c>
      <c r="J36" s="286">
        <f t="shared" si="5"/>
        <v>51.200700793750855</v>
      </c>
      <c r="K36" s="286">
        <f t="shared" si="5"/>
        <v>7.622340680577257</v>
      </c>
      <c r="L36" s="286">
        <f t="shared" si="5"/>
        <v>0.19292301513234567</v>
      </c>
      <c r="M36" s="218"/>
      <c r="N36" s="97"/>
      <c r="Q36" s="98"/>
    </row>
    <row r="37" spans="1:17" ht="12.75">
      <c r="A37" s="146" t="s">
        <v>23</v>
      </c>
      <c r="B37" s="233">
        <f t="shared" si="2"/>
        <v>146661344.53</v>
      </c>
      <c r="C37" s="233">
        <v>46925458</v>
      </c>
      <c r="D37" s="233">
        <v>1865443.75</v>
      </c>
      <c r="E37" s="233">
        <f>state1!C38+'table 6'!G38</f>
        <v>83353612.86999999</v>
      </c>
      <c r="F37" s="35">
        <f>fed1!B38-'table 6'!I38</f>
        <v>13980766.19</v>
      </c>
      <c r="G37" s="56">
        <v>536063.72</v>
      </c>
      <c r="H37" s="287"/>
      <c r="I37" s="286">
        <f>IF(B37&lt;&gt;0,((+C37+D37)/B37*100),(IF(C37&lt;&gt;0,1,0)))</f>
        <v>33.267731116442675</v>
      </c>
      <c r="J37" s="286">
        <f t="shared" si="5"/>
        <v>56.83407112973096</v>
      </c>
      <c r="K37" s="286">
        <f t="shared" si="5"/>
        <v>9.532686499502391</v>
      </c>
      <c r="L37" s="286">
        <f t="shared" si="5"/>
        <v>0.36551125432396847</v>
      </c>
      <c r="M37" s="218"/>
      <c r="N37" s="97"/>
      <c r="Q37" s="98"/>
    </row>
    <row r="38" spans="1:17" ht="12.75">
      <c r="A38" s="148" t="s">
        <v>24</v>
      </c>
      <c r="B38" s="351">
        <f t="shared" si="2"/>
        <v>81984483.84</v>
      </c>
      <c r="C38" s="351">
        <v>55066516</v>
      </c>
      <c r="D38" s="351">
        <v>927228.35</v>
      </c>
      <c r="E38" s="351">
        <f>state1!C39+'table 6'!G39</f>
        <v>18649251.7</v>
      </c>
      <c r="F38" s="235">
        <f>fed1!B39-'table 6'!I39</f>
        <v>7341487.790000001</v>
      </c>
      <c r="G38" s="235">
        <v>0</v>
      </c>
      <c r="H38" s="288"/>
      <c r="I38" s="289">
        <f>IF(B38&lt;&gt;0,((+C38+D38)/B38*100),(IF(C38&lt;&gt;0,1,0)))</f>
        <v>68.29797752862208</v>
      </c>
      <c r="J38" s="289">
        <f t="shared" si="5"/>
        <v>22.747294154337386</v>
      </c>
      <c r="K38" s="289">
        <f t="shared" si="5"/>
        <v>8.954728317040535</v>
      </c>
      <c r="L38" s="289">
        <f t="shared" si="5"/>
        <v>0</v>
      </c>
      <c r="M38" s="218"/>
      <c r="N38" s="97"/>
      <c r="Q38" s="98"/>
    </row>
    <row r="39" spans="1:11" ht="12.75">
      <c r="A39" s="149" t="s">
        <v>336</v>
      </c>
      <c r="B39" s="285"/>
      <c r="D39" s="150"/>
      <c r="I39" s="151"/>
      <c r="J39" s="151"/>
      <c r="K39" s="151"/>
    </row>
    <row r="40" spans="1:4" ht="12.75">
      <c r="A40" s="62" t="s">
        <v>337</v>
      </c>
      <c r="D40" s="150"/>
    </row>
    <row r="41" spans="1:4" ht="12.75">
      <c r="A41" s="365" t="s">
        <v>324</v>
      </c>
      <c r="D41" s="150"/>
    </row>
    <row r="42" spans="1:4" ht="12.75">
      <c r="A42" s="152"/>
      <c r="D42" s="150"/>
    </row>
    <row r="43" ht="12.75">
      <c r="D43" s="150"/>
    </row>
    <row r="44" ht="12.75">
      <c r="D44" s="150"/>
    </row>
    <row r="45" ht="12.75">
      <c r="D45" s="150"/>
    </row>
  </sheetData>
  <sheetProtection password="CAF5" sheet="1" objects="1" scenarios="1"/>
  <mergeCells count="6">
    <mergeCell ref="C7:D7"/>
    <mergeCell ref="C6:F6"/>
    <mergeCell ref="I6:L6"/>
    <mergeCell ref="A1:L1"/>
    <mergeCell ref="A3:L3"/>
    <mergeCell ref="A4:L4"/>
  </mergeCells>
  <printOptions/>
  <pageMargins left="0.69" right="0.24" top="1" bottom="1" header="0.5" footer="0.5"/>
  <pageSetup fitToHeight="1" fitToWidth="1" horizontalDpi="600" verticalDpi="600" orientation="landscape" scale="91" r:id="rId1"/>
  <headerFooter alignWithMargins="0">
    <oddFooter>&amp;L&amp;"Arial,Italic"&amp;9MSDE-DBS  10  / 2007&amp;C- 2 -&amp;R&amp;"Arial,Italic"&amp;9Selected Financial Data-Part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3">
      <selection activeCell="B15" sqref="B15"/>
    </sheetView>
  </sheetViews>
  <sheetFormatPr defaultColWidth="9.140625" defaultRowHeight="12.75"/>
  <cols>
    <col min="1" max="1" width="26.28125" style="0" customWidth="1"/>
    <col min="2" max="2" width="17.00390625" style="0" customWidth="1"/>
    <col min="3" max="3" width="4.57421875" style="0" customWidth="1"/>
    <col min="4" max="4" width="12.8515625" style="0" customWidth="1"/>
    <col min="5" max="5" width="5.8515625" style="0" customWidth="1"/>
    <col min="6" max="6" width="12.421875" style="0" customWidth="1"/>
    <col min="7" max="7" width="4.8515625" style="0" customWidth="1"/>
    <col min="8" max="8" width="13.140625" style="0" customWidth="1"/>
    <col min="9" max="9" width="5.140625" style="0" customWidth="1"/>
    <col min="10" max="10" width="12.28125" style="0" customWidth="1"/>
    <col min="11" max="11" width="5.8515625" style="0" customWidth="1"/>
    <col min="12" max="12" width="18.421875" style="0" customWidth="1"/>
    <col min="13" max="13" width="16.421875" style="0" customWidth="1"/>
    <col min="16" max="16" width="16.7109375" style="5" customWidth="1"/>
    <col min="18" max="18" width="10.00390625" style="0" bestFit="1" customWidth="1"/>
  </cols>
  <sheetData>
    <row r="1" spans="1:11" ht="12.75">
      <c r="A1" s="457" t="s">
        <v>275</v>
      </c>
      <c r="B1" s="457"/>
      <c r="C1" s="457"/>
      <c r="D1" s="457"/>
      <c r="E1" s="457"/>
      <c r="F1" s="457"/>
      <c r="G1" s="457"/>
      <c r="H1" s="457"/>
      <c r="I1" s="457"/>
      <c r="J1" s="457"/>
      <c r="K1" s="416"/>
    </row>
    <row r="2" spans="1:9" ht="13.5" customHeight="1">
      <c r="A2" s="321"/>
      <c r="H2" s="3"/>
      <c r="I2" s="3"/>
    </row>
    <row r="3" spans="1:11" ht="12.75">
      <c r="A3" s="457" t="s">
        <v>276</v>
      </c>
      <c r="B3" s="457"/>
      <c r="C3" s="457"/>
      <c r="D3" s="457"/>
      <c r="E3" s="457"/>
      <c r="F3" s="457"/>
      <c r="G3" s="457"/>
      <c r="H3" s="457"/>
      <c r="I3" s="457"/>
      <c r="J3" s="457"/>
      <c r="K3" s="416"/>
    </row>
    <row r="4" spans="1:11" ht="13.5" thickBot="1">
      <c r="A4" s="3"/>
      <c r="B4" s="3"/>
      <c r="C4" s="3"/>
      <c r="D4" s="3"/>
      <c r="E4" s="3"/>
      <c r="F4" s="3"/>
      <c r="G4" s="3"/>
      <c r="J4" s="3"/>
      <c r="K4" s="3"/>
    </row>
    <row r="5" spans="1:12" ht="15" customHeight="1" thickTop="1">
      <c r="A5" s="6"/>
      <c r="B5" s="81" t="s">
        <v>358</v>
      </c>
      <c r="C5" s="81"/>
      <c r="D5" s="412"/>
      <c r="E5" s="412"/>
      <c r="F5" s="412"/>
      <c r="G5" s="412"/>
      <c r="H5" s="533" t="s">
        <v>362</v>
      </c>
      <c r="I5" s="419"/>
      <c r="J5" s="421" t="s">
        <v>120</v>
      </c>
      <c r="K5" s="48"/>
      <c r="L5" s="422"/>
    </row>
    <row r="6" spans="1:16" ht="12.75">
      <c r="A6" s="3" t="s">
        <v>99</v>
      </c>
      <c r="B6" s="4" t="s">
        <v>277</v>
      </c>
      <c r="C6" s="4"/>
      <c r="D6" s="4" t="s">
        <v>278</v>
      </c>
      <c r="E6" s="4"/>
      <c r="F6" s="4" t="s">
        <v>279</v>
      </c>
      <c r="G6" s="4"/>
      <c r="H6" s="513"/>
      <c r="I6" s="417"/>
      <c r="J6" s="4" t="s">
        <v>279</v>
      </c>
      <c r="K6" s="4"/>
      <c r="P6" s="423" t="s">
        <v>369</v>
      </c>
    </row>
    <row r="7" spans="1:16" ht="12.75">
      <c r="A7" s="3" t="s">
        <v>41</v>
      </c>
      <c r="B7" s="4" t="s">
        <v>280</v>
      </c>
      <c r="C7" s="4"/>
      <c r="D7" s="4" t="s">
        <v>281</v>
      </c>
      <c r="E7" s="4"/>
      <c r="F7" s="4" t="s">
        <v>282</v>
      </c>
      <c r="G7" s="4"/>
      <c r="H7" s="513"/>
      <c r="I7" s="417"/>
      <c r="J7" s="4" t="s">
        <v>282</v>
      </c>
      <c r="K7" s="4"/>
      <c r="P7" s="534" t="s">
        <v>368</v>
      </c>
    </row>
    <row r="8" spans="1:16" ht="13.5" thickBot="1">
      <c r="A8" s="7" t="s">
        <v>143</v>
      </c>
      <c r="B8" s="8" t="s">
        <v>283</v>
      </c>
      <c r="C8" s="8"/>
      <c r="D8" s="8" t="s">
        <v>359</v>
      </c>
      <c r="E8" s="8"/>
      <c r="F8" s="8" t="s">
        <v>284</v>
      </c>
      <c r="G8" s="8"/>
      <c r="H8" s="514"/>
      <c r="I8" s="418"/>
      <c r="J8" s="8" t="s">
        <v>285</v>
      </c>
      <c r="K8" s="4"/>
      <c r="M8" t="s">
        <v>286</v>
      </c>
      <c r="P8" s="485"/>
    </row>
    <row r="9" spans="1:13" ht="12.75">
      <c r="A9" s="3" t="s">
        <v>0</v>
      </c>
      <c r="B9" s="322">
        <f>SUM(B11:B38)</f>
        <v>469096999</v>
      </c>
      <c r="C9" s="322"/>
      <c r="D9" s="413">
        <v>841180.188941391</v>
      </c>
      <c r="E9" s="413"/>
      <c r="F9" s="334">
        <f>+B9*1000/D9</f>
        <v>557665.2959342154</v>
      </c>
      <c r="G9" s="334"/>
      <c r="H9" s="323">
        <f>SUM(H11:H45)</f>
        <v>5589599</v>
      </c>
      <c r="I9" s="77"/>
      <c r="J9" s="322">
        <f>+B9*1000/H9</f>
        <v>83923.19359581967</v>
      </c>
      <c r="K9" s="322"/>
      <c r="L9" t="s">
        <v>287</v>
      </c>
      <c r="M9" s="324">
        <v>5296486</v>
      </c>
    </row>
    <row r="10" spans="1:11" ht="12.75">
      <c r="A10" s="3"/>
      <c r="B10" s="3"/>
      <c r="C10" s="3"/>
      <c r="D10" s="79"/>
      <c r="E10" s="79"/>
      <c r="F10" s="3"/>
      <c r="G10" s="3"/>
      <c r="H10" s="69"/>
      <c r="I10" s="69"/>
      <c r="J10" s="2"/>
      <c r="K10" s="2"/>
    </row>
    <row r="11" spans="1:16" ht="12.75">
      <c r="A11" s="3" t="s">
        <v>1</v>
      </c>
      <c r="B11" s="15">
        <v>2769308</v>
      </c>
      <c r="C11" s="15"/>
      <c r="D11" s="73">
        <v>9471.1</v>
      </c>
      <c r="E11" s="73"/>
      <c r="F11" s="15">
        <f>+B11*1000/D11</f>
        <v>292395.60346739023</v>
      </c>
      <c r="G11" s="15"/>
      <c r="H11" s="172">
        <v>73245</v>
      </c>
      <c r="I11" s="172"/>
      <c r="J11" s="325">
        <f>+B11*1000/H11</f>
        <v>37808.833367465355</v>
      </c>
      <c r="K11" s="325"/>
      <c r="L11" t="s">
        <v>288</v>
      </c>
      <c r="M11" s="324">
        <v>74930</v>
      </c>
      <c r="P11" s="5">
        <v>2769308</v>
      </c>
    </row>
    <row r="12" spans="1:16" ht="12.75">
      <c r="A12" s="3" t="s">
        <v>2</v>
      </c>
      <c r="B12" s="15">
        <v>52254680</v>
      </c>
      <c r="C12" s="15"/>
      <c r="D12" s="73">
        <v>72118.85683635465</v>
      </c>
      <c r="E12" s="73"/>
      <c r="F12" s="15">
        <f>+B12*1000/D12</f>
        <v>724563.3429627348</v>
      </c>
      <c r="G12" s="15"/>
      <c r="H12" s="172">
        <v>509397</v>
      </c>
      <c r="I12" s="172"/>
      <c r="J12" s="325">
        <f>+B12*1000/H12</f>
        <v>102581.44433516491</v>
      </c>
      <c r="K12" s="325"/>
      <c r="L12" t="s">
        <v>289</v>
      </c>
      <c r="M12" s="324">
        <v>489656</v>
      </c>
      <c r="P12" s="5">
        <v>52254680</v>
      </c>
    </row>
    <row r="13" spans="1:16" ht="12.75">
      <c r="A13" s="3" t="s">
        <v>3</v>
      </c>
      <c r="B13" s="15">
        <v>22617992</v>
      </c>
      <c r="C13" s="15"/>
      <c r="D13" s="73">
        <v>83549.35</v>
      </c>
      <c r="E13" s="73"/>
      <c r="F13" s="15">
        <f>+B13*1000/D13</f>
        <v>270714.15875766834</v>
      </c>
      <c r="G13" s="15"/>
      <c r="H13" s="172">
        <v>636377</v>
      </c>
      <c r="I13" s="172"/>
      <c r="J13" s="325">
        <f>+B13*1000/H13</f>
        <v>35541.8124790808</v>
      </c>
      <c r="K13" s="325"/>
      <c r="L13" t="s">
        <v>290</v>
      </c>
      <c r="M13" s="324">
        <v>651154</v>
      </c>
      <c r="P13" s="5">
        <v>22617992</v>
      </c>
    </row>
    <row r="14" spans="1:16" ht="12.75">
      <c r="A14" s="3" t="s">
        <v>4</v>
      </c>
      <c r="B14" s="15">
        <v>55260331</v>
      </c>
      <c r="C14" s="15"/>
      <c r="D14" s="73">
        <v>104575.01085508052</v>
      </c>
      <c r="E14" s="73"/>
      <c r="F14" s="15">
        <f>+B14*1000/D14</f>
        <v>528427.6860040633</v>
      </c>
      <c r="G14" s="15"/>
      <c r="H14" s="172">
        <v>783405</v>
      </c>
      <c r="I14" s="172"/>
      <c r="J14" s="325">
        <f>+B14*1000/H14</f>
        <v>70538.64986820355</v>
      </c>
      <c r="K14" s="325"/>
      <c r="L14" t="s">
        <v>291</v>
      </c>
      <c r="M14" s="324">
        <v>754292</v>
      </c>
      <c r="P14" s="5">
        <v>55260331</v>
      </c>
    </row>
    <row r="15" spans="1:16" ht="12.75">
      <c r="A15" s="3" t="s">
        <v>5</v>
      </c>
      <c r="B15" s="15">
        <v>8273280</v>
      </c>
      <c r="C15" s="15"/>
      <c r="D15" s="73">
        <v>16863.28111010433</v>
      </c>
      <c r="E15" s="73"/>
      <c r="F15" s="15">
        <f>+B15*1000/D15</f>
        <v>490609.1493097819</v>
      </c>
      <c r="G15" s="15"/>
      <c r="H15" s="172">
        <v>87622</v>
      </c>
      <c r="I15" s="172"/>
      <c r="J15" s="325">
        <f>+B15*1000/H15</f>
        <v>94420.12280021</v>
      </c>
      <c r="K15" s="325"/>
      <c r="L15" t="s">
        <v>292</v>
      </c>
      <c r="M15" s="324">
        <v>74563</v>
      </c>
      <c r="P15" s="5">
        <v>8273280</v>
      </c>
    </row>
    <row r="16" spans="1:11" ht="12.75">
      <c r="A16" s="3"/>
      <c r="C16" s="15"/>
      <c r="D16" s="73"/>
      <c r="E16" s="73"/>
      <c r="F16" s="15"/>
      <c r="G16" s="15"/>
      <c r="H16" s="70"/>
      <c r="I16" s="70"/>
      <c r="J16" s="325"/>
      <c r="K16" s="325"/>
    </row>
    <row r="17" spans="1:16" ht="12.75">
      <c r="A17" s="3" t="s">
        <v>6</v>
      </c>
      <c r="B17" s="15">
        <v>1732039</v>
      </c>
      <c r="C17" s="15"/>
      <c r="D17" s="73">
        <v>5419.85</v>
      </c>
      <c r="E17" s="73"/>
      <c r="F17" s="15">
        <f>+B17*1000/D17</f>
        <v>319573.23542164447</v>
      </c>
      <c r="G17" s="15"/>
      <c r="H17" s="172">
        <v>31805</v>
      </c>
      <c r="I17" s="172"/>
      <c r="J17" s="325">
        <f>+B17*1000/H17</f>
        <v>54458.072630089606</v>
      </c>
      <c r="K17" s="325"/>
      <c r="L17" t="s">
        <v>293</v>
      </c>
      <c r="M17" s="324">
        <v>29772</v>
      </c>
      <c r="P17" s="5">
        <v>1732039</v>
      </c>
    </row>
    <row r="18" spans="1:16" ht="12.75">
      <c r="A18" s="3" t="s">
        <v>7</v>
      </c>
      <c r="B18" s="15">
        <v>13331645</v>
      </c>
      <c r="C18" s="15"/>
      <c r="D18" s="73">
        <v>28272.9199734748</v>
      </c>
      <c r="E18" s="73"/>
      <c r="F18" s="15">
        <f>+B18*1000/D18</f>
        <v>471534.06908474735</v>
      </c>
      <c r="G18" s="15"/>
      <c r="H18" s="172">
        <v>168397</v>
      </c>
      <c r="I18" s="172"/>
      <c r="J18" s="325">
        <f>+B18*1000/H18</f>
        <v>79167.94836012518</v>
      </c>
      <c r="K18" s="325"/>
      <c r="L18" t="s">
        <v>294</v>
      </c>
      <c r="M18" s="324">
        <v>150897</v>
      </c>
      <c r="P18" s="5">
        <v>13331645</v>
      </c>
    </row>
    <row r="19" spans="1:16" ht="12.75">
      <c r="A19" s="3" t="s">
        <v>8</v>
      </c>
      <c r="B19" s="15">
        <v>6771749</v>
      </c>
      <c r="C19" s="15"/>
      <c r="D19" s="73">
        <v>15888.508829021592</v>
      </c>
      <c r="E19" s="73"/>
      <c r="F19" s="15">
        <f>+B19*1000/D19</f>
        <v>426204.1877479953</v>
      </c>
      <c r="G19" s="15"/>
      <c r="H19" s="172">
        <v>97474</v>
      </c>
      <c r="I19" s="172"/>
      <c r="J19" s="325">
        <f>+B19*1000/H19</f>
        <v>69472.36186059873</v>
      </c>
      <c r="K19" s="325"/>
      <c r="L19" t="s">
        <v>295</v>
      </c>
      <c r="M19" s="324">
        <v>85951</v>
      </c>
      <c r="P19" s="5">
        <v>6771749</v>
      </c>
    </row>
    <row r="20" spans="1:16" ht="12.75">
      <c r="A20" s="3" t="s">
        <v>9</v>
      </c>
      <c r="B20" s="15">
        <v>11238385</v>
      </c>
      <c r="C20" s="15"/>
      <c r="D20" s="73">
        <v>25965.334555247002</v>
      </c>
      <c r="E20" s="73"/>
      <c r="F20" s="15">
        <f>+B20*1000/D20</f>
        <v>432822.6534531202</v>
      </c>
      <c r="G20" s="15"/>
      <c r="H20" s="172">
        <v>138106</v>
      </c>
      <c r="I20" s="172"/>
      <c r="J20" s="325">
        <f>+B20*1000/H20</f>
        <v>81375.066977539</v>
      </c>
      <c r="K20" s="325"/>
      <c r="L20" t="s">
        <v>296</v>
      </c>
      <c r="M20" s="324">
        <v>120546</v>
      </c>
      <c r="P20" s="5">
        <v>11238385</v>
      </c>
    </row>
    <row r="21" spans="1:16" ht="12.75">
      <c r="A21" s="3" t="s">
        <v>10</v>
      </c>
      <c r="B21" s="5">
        <v>2118457</v>
      </c>
      <c r="C21" s="15"/>
      <c r="D21" s="73">
        <v>4234.15</v>
      </c>
      <c r="E21" s="73"/>
      <c r="F21" s="15">
        <f>+B21*1000/D21</f>
        <v>500326.3937271944</v>
      </c>
      <c r="G21" s="15"/>
      <c r="H21" s="172">
        <v>31351</v>
      </c>
      <c r="I21" s="172"/>
      <c r="J21" s="325">
        <f>+B21*1000/H21</f>
        <v>67572.23055085962</v>
      </c>
      <c r="K21" s="325"/>
      <c r="L21" t="s">
        <v>297</v>
      </c>
      <c r="M21" s="324">
        <v>30674</v>
      </c>
      <c r="P21" s="5">
        <v>2118457</v>
      </c>
    </row>
    <row r="22" spans="1:11" ht="12.75">
      <c r="A22" s="3"/>
      <c r="C22" s="5"/>
      <c r="D22" s="73"/>
      <c r="E22" s="73"/>
      <c r="F22" s="15"/>
      <c r="G22" s="15"/>
      <c r="H22" s="39"/>
      <c r="I22" s="39"/>
      <c r="J22" s="325"/>
      <c r="K22" s="325"/>
    </row>
    <row r="23" spans="1:16" ht="12.75">
      <c r="A23" s="3" t="s">
        <v>11</v>
      </c>
      <c r="B23" s="15">
        <v>18632544</v>
      </c>
      <c r="C23" s="15"/>
      <c r="D23" s="73">
        <v>39061.61639605665</v>
      </c>
      <c r="E23" s="73"/>
      <c r="F23" s="15">
        <f>+B23*1000/D23</f>
        <v>477003.91635306197</v>
      </c>
      <c r="G23" s="15"/>
      <c r="H23" s="73">
        <v>220409</v>
      </c>
      <c r="I23" s="39"/>
      <c r="J23" s="325">
        <f>+B23*1000/H23</f>
        <v>84536.2212976784</v>
      </c>
      <c r="K23" s="325"/>
      <c r="L23" t="s">
        <v>298</v>
      </c>
      <c r="M23" s="324">
        <v>195277</v>
      </c>
      <c r="P23" s="5">
        <v>18632544</v>
      </c>
    </row>
    <row r="24" spans="1:16" ht="12.75">
      <c r="A24" s="3" t="s">
        <v>12</v>
      </c>
      <c r="B24" s="15">
        <v>2806883</v>
      </c>
      <c r="C24" s="15"/>
      <c r="D24" s="73">
        <v>4651.9</v>
      </c>
      <c r="E24" s="73"/>
      <c r="F24" s="15">
        <f>+B24*1000/D24</f>
        <v>603384.2086029365</v>
      </c>
      <c r="G24" s="15"/>
      <c r="H24" s="172">
        <v>29863</v>
      </c>
      <c r="I24" s="172"/>
      <c r="J24" s="325">
        <f>+B24*1000/H24</f>
        <v>93991.99678531963</v>
      </c>
      <c r="K24" s="325"/>
      <c r="L24" t="s">
        <v>299</v>
      </c>
      <c r="M24" s="324">
        <v>29846</v>
      </c>
      <c r="P24" s="5">
        <v>2806883</v>
      </c>
    </row>
    <row r="25" spans="1:16" ht="12.75">
      <c r="A25" s="3" t="s">
        <v>13</v>
      </c>
      <c r="B25" s="15">
        <v>17087626</v>
      </c>
      <c r="C25" s="15"/>
      <c r="D25" s="73">
        <v>39555.29760282604</v>
      </c>
      <c r="E25" s="73"/>
      <c r="F25" s="15">
        <f>+B25*1000/D25</f>
        <v>431993.36209214036</v>
      </c>
      <c r="G25" s="15"/>
      <c r="H25" s="172">
        <v>238850</v>
      </c>
      <c r="I25" s="172"/>
      <c r="J25" s="325">
        <f>+B25*1000/H25</f>
        <v>71541.24345823738</v>
      </c>
      <c r="K25" s="325"/>
      <c r="L25" t="s">
        <v>300</v>
      </c>
      <c r="M25" s="324">
        <v>218590</v>
      </c>
      <c r="P25" s="5">
        <v>17087626</v>
      </c>
    </row>
    <row r="26" spans="1:16" ht="12.75">
      <c r="A26" s="3" t="s">
        <v>14</v>
      </c>
      <c r="B26" s="15">
        <v>30451238</v>
      </c>
      <c r="C26" s="15"/>
      <c r="D26" s="73">
        <v>47642.330572130566</v>
      </c>
      <c r="E26" s="73"/>
      <c r="F26" s="15">
        <f>+B26*1000/D26</f>
        <v>639163.4841183258</v>
      </c>
      <c r="G26" s="15"/>
      <c r="H26" s="172">
        <v>269174</v>
      </c>
      <c r="I26" s="172"/>
      <c r="J26" s="325">
        <f>+B26*1000/H26</f>
        <v>113128.45222792691</v>
      </c>
      <c r="K26" s="325"/>
      <c r="L26" t="s">
        <v>301</v>
      </c>
      <c r="M26" s="324">
        <v>247842</v>
      </c>
      <c r="P26" s="5">
        <v>30451238</v>
      </c>
    </row>
    <row r="27" spans="1:16" ht="12.75">
      <c r="A27" s="3" t="s">
        <v>15</v>
      </c>
      <c r="B27" s="15">
        <v>1867337</v>
      </c>
      <c r="C27" s="15"/>
      <c r="D27" s="73">
        <v>2383.3346153846155</v>
      </c>
      <c r="E27" s="73"/>
      <c r="F27" s="15">
        <f>+B27*1000/D27</f>
        <v>783497.6204961697</v>
      </c>
      <c r="G27" s="15"/>
      <c r="H27" s="172">
        <v>19908</v>
      </c>
      <c r="I27" s="172"/>
      <c r="J27" s="325">
        <f>+B27*1000/H27</f>
        <v>93798.3222824995</v>
      </c>
      <c r="K27" s="325"/>
      <c r="L27" t="s">
        <v>302</v>
      </c>
      <c r="M27" s="324">
        <v>19197</v>
      </c>
      <c r="P27" s="5">
        <v>1867337</v>
      </c>
    </row>
    <row r="28" spans="1:11" ht="12.75">
      <c r="A28" s="3"/>
      <c r="B28" s="5"/>
      <c r="C28" s="5"/>
      <c r="D28" s="73"/>
      <c r="E28" s="73"/>
      <c r="F28" s="15"/>
      <c r="G28" s="15"/>
      <c r="H28" s="39"/>
      <c r="I28" s="39"/>
      <c r="J28" s="325"/>
      <c r="K28" s="325"/>
    </row>
    <row r="29" spans="1:16" ht="12.75">
      <c r="A29" s="3" t="s">
        <v>16</v>
      </c>
      <c r="B29" s="15">
        <v>123700452</v>
      </c>
      <c r="C29" s="15"/>
      <c r="D29" s="73">
        <v>135707.54633687652</v>
      </c>
      <c r="E29" s="73"/>
      <c r="F29" s="15">
        <f>+B29*1000/D29</f>
        <v>911522.2796301213</v>
      </c>
      <c r="G29" s="15"/>
      <c r="H29" s="172">
        <v>927405</v>
      </c>
      <c r="I29" s="172"/>
      <c r="J29" s="325">
        <f>+B30*1000/H29</f>
        <v>58535.31628576512</v>
      </c>
      <c r="K29" s="325"/>
      <c r="L29" t="s">
        <v>303</v>
      </c>
      <c r="M29" s="324">
        <v>873341</v>
      </c>
      <c r="P29" s="5">
        <v>123700452</v>
      </c>
    </row>
    <row r="30" spans="1:16" ht="12.75">
      <c r="A30" s="3" t="s">
        <v>17</v>
      </c>
      <c r="B30" s="15">
        <v>54285945</v>
      </c>
      <c r="C30" s="15"/>
      <c r="D30" s="73">
        <v>133631.71262667206</v>
      </c>
      <c r="E30" s="73"/>
      <c r="F30" s="15">
        <f>+B30*1000/D30</f>
        <v>406235.49554931663</v>
      </c>
      <c r="G30" s="15"/>
      <c r="H30" s="172">
        <v>842764</v>
      </c>
      <c r="I30" s="172"/>
      <c r="J30" s="325">
        <f>+B30*1000/H30</f>
        <v>64414.171701686355</v>
      </c>
      <c r="K30" s="325"/>
      <c r="L30" t="s">
        <v>304</v>
      </c>
      <c r="M30" s="324">
        <v>801515</v>
      </c>
      <c r="P30" s="5">
        <v>54285945</v>
      </c>
    </row>
    <row r="31" spans="1:16" ht="12.75">
      <c r="A31" s="3" t="s">
        <v>18</v>
      </c>
      <c r="B31" s="15">
        <v>5136984</v>
      </c>
      <c r="C31" s="15"/>
      <c r="D31" s="73">
        <v>7491.858585858586</v>
      </c>
      <c r="E31" s="73"/>
      <c r="F31" s="15">
        <f>+B31*1000/D31</f>
        <v>685675.5157787444</v>
      </c>
      <c r="G31" s="15"/>
      <c r="H31" s="172">
        <v>45469</v>
      </c>
      <c r="I31" s="172"/>
      <c r="J31" s="325">
        <f>+B31*1000/H31</f>
        <v>112977.72108469506</v>
      </c>
      <c r="K31" s="325"/>
      <c r="L31" t="s">
        <v>305</v>
      </c>
      <c r="M31" s="324">
        <v>40563</v>
      </c>
      <c r="P31" s="5">
        <v>5136984</v>
      </c>
    </row>
    <row r="32" spans="1:16" ht="12.75">
      <c r="A32" s="3" t="s">
        <v>19</v>
      </c>
      <c r="B32" s="15">
        <v>6831604</v>
      </c>
      <c r="C32" s="15"/>
      <c r="D32" s="73">
        <v>16026.227586206895</v>
      </c>
      <c r="E32" s="73"/>
      <c r="F32" s="15">
        <f>+B32*1000/D32</f>
        <v>426276.4872925976</v>
      </c>
      <c r="G32" s="15"/>
      <c r="H32" s="172">
        <v>96868</v>
      </c>
      <c r="I32" s="172"/>
      <c r="J32" s="325">
        <f>+B32*1000/H32</f>
        <v>70524.87921707891</v>
      </c>
      <c r="K32" s="325"/>
      <c r="L32" t="s">
        <v>306</v>
      </c>
      <c r="M32" s="324">
        <v>86211</v>
      </c>
      <c r="P32" s="5">
        <v>6831604</v>
      </c>
    </row>
    <row r="33" spans="1:16" ht="12.75">
      <c r="A33" s="3" t="s">
        <v>20</v>
      </c>
      <c r="B33" s="15">
        <v>959979</v>
      </c>
      <c r="C33" s="15"/>
      <c r="D33" s="73">
        <v>2788.35</v>
      </c>
      <c r="E33" s="73"/>
      <c r="F33" s="15">
        <f>+B33*1000/D33</f>
        <v>344282.1023185755</v>
      </c>
      <c r="G33" s="15"/>
      <c r="H33" s="172">
        <v>25666</v>
      </c>
      <c r="I33" s="172"/>
      <c r="J33" s="325">
        <f>+B33*1000/H33</f>
        <v>37402.75072079794</v>
      </c>
      <c r="K33" s="325"/>
      <c r="L33" t="s">
        <v>307</v>
      </c>
      <c r="M33" s="324">
        <v>24747</v>
      </c>
      <c r="P33" s="5">
        <v>959979</v>
      </c>
    </row>
    <row r="34" spans="1:11" ht="12.75">
      <c r="A34" s="3"/>
      <c r="B34" s="15"/>
      <c r="C34" s="15"/>
      <c r="D34" s="73"/>
      <c r="E34" s="73"/>
      <c r="F34" s="15"/>
      <c r="G34" s="15"/>
      <c r="H34" s="39"/>
      <c r="I34" s="39"/>
      <c r="J34" s="325"/>
      <c r="K34" s="325"/>
    </row>
    <row r="35" spans="1:16" ht="12.75">
      <c r="A35" s="3" t="s">
        <v>21</v>
      </c>
      <c r="B35" s="15">
        <v>5813225</v>
      </c>
      <c r="C35" s="15"/>
      <c r="D35" s="73">
        <v>4347.3</v>
      </c>
      <c r="E35" s="73"/>
      <c r="F35" s="15">
        <f>+B35*1000/D35</f>
        <v>1337203.551629747</v>
      </c>
      <c r="G35" s="15"/>
      <c r="H35" s="172">
        <v>35630</v>
      </c>
      <c r="I35" s="172"/>
      <c r="J35" s="325">
        <f>+B35*1000/H35</f>
        <v>163155.34661801852</v>
      </c>
      <c r="K35" s="325"/>
      <c r="L35" t="s">
        <v>308</v>
      </c>
      <c r="M35" s="324">
        <v>33812</v>
      </c>
      <c r="P35" s="5">
        <v>5813225</v>
      </c>
    </row>
    <row r="36" spans="1:16" ht="12.75">
      <c r="A36" s="3" t="s">
        <v>22</v>
      </c>
      <c r="B36" s="15">
        <v>8658065</v>
      </c>
      <c r="C36" s="15"/>
      <c r="D36" s="73">
        <v>20726.934259259262</v>
      </c>
      <c r="E36" s="73"/>
      <c r="F36" s="15">
        <f>+B36*1000/D36</f>
        <v>417720.4834879146</v>
      </c>
      <c r="G36" s="15"/>
      <c r="H36" s="172">
        <v>141563</v>
      </c>
      <c r="I36" s="172"/>
      <c r="J36" s="325">
        <f>+B36*1000/H36</f>
        <v>61160.5080423557</v>
      </c>
      <c r="K36" s="325"/>
      <c r="L36" t="s">
        <v>309</v>
      </c>
      <c r="M36" s="324">
        <v>131923</v>
      </c>
      <c r="P36" s="5">
        <v>8658065</v>
      </c>
    </row>
    <row r="37" spans="1:16" ht="12.75">
      <c r="A37" s="3" t="s">
        <v>23</v>
      </c>
      <c r="B37" s="15">
        <v>4933329</v>
      </c>
      <c r="C37" s="15"/>
      <c r="D37" s="73">
        <v>14218.46820083682</v>
      </c>
      <c r="E37" s="73"/>
      <c r="F37" s="15">
        <f>+B37*1000/D37</f>
        <v>346966.27866774367</v>
      </c>
      <c r="G37" s="15"/>
      <c r="H37" s="172">
        <v>90252</v>
      </c>
      <c r="I37" s="172"/>
      <c r="J37" s="325">
        <f>+B37*1000/H37</f>
        <v>54661.71386783673</v>
      </c>
      <c r="K37" s="325"/>
      <c r="L37" t="s">
        <v>310</v>
      </c>
      <c r="M37" s="324">
        <v>84644</v>
      </c>
      <c r="P37" s="5">
        <v>4933329</v>
      </c>
    </row>
    <row r="38" spans="1:16" ht="13.5" thickBot="1">
      <c r="A38" s="7" t="s">
        <v>24</v>
      </c>
      <c r="B38" s="414">
        <v>11563922</v>
      </c>
      <c r="C38" s="414"/>
      <c r="D38" s="415">
        <v>6588.95</v>
      </c>
      <c r="E38" s="415"/>
      <c r="F38" s="414">
        <f>+B38*1000/D38</f>
        <v>1755047.7693714476</v>
      </c>
      <c r="G38" s="414"/>
      <c r="H38" s="326">
        <v>48599</v>
      </c>
      <c r="I38" s="326"/>
      <c r="J38" s="327">
        <f>+B38*1000/H38</f>
        <v>237945.6778946069</v>
      </c>
      <c r="K38" s="325"/>
      <c r="L38" t="s">
        <v>311</v>
      </c>
      <c r="M38" s="324">
        <v>46543</v>
      </c>
      <c r="P38" s="5">
        <v>11563922</v>
      </c>
    </row>
    <row r="39" spans="1:11" ht="12.75">
      <c r="A39" s="92" t="s">
        <v>364</v>
      </c>
      <c r="B39" s="2"/>
      <c r="C39" s="2"/>
      <c r="D39" s="2"/>
      <c r="E39" s="2"/>
      <c r="F39" s="2"/>
      <c r="G39" s="2"/>
      <c r="H39" s="2"/>
      <c r="I39" s="2"/>
      <c r="J39" s="325"/>
      <c r="K39" s="325"/>
    </row>
    <row r="40" ht="12.75">
      <c r="A40" s="92" t="s">
        <v>360</v>
      </c>
    </row>
    <row r="41" ht="12.75">
      <c r="A41" s="3" t="s">
        <v>361</v>
      </c>
    </row>
    <row r="42" ht="12.75">
      <c r="A42" s="124" t="s">
        <v>365</v>
      </c>
    </row>
    <row r="43" ht="12.75">
      <c r="A43" s="284" t="s">
        <v>363</v>
      </c>
    </row>
    <row r="44" spans="2:3" ht="12.75">
      <c r="B44" s="410"/>
      <c r="C44" s="410"/>
    </row>
  </sheetData>
  <sheetProtection password="CAF5" sheet="1" objects="1" scenarios="1"/>
  <mergeCells count="4">
    <mergeCell ref="A1:J1"/>
    <mergeCell ref="A3:J3"/>
    <mergeCell ref="H5:H8"/>
    <mergeCell ref="P7:P8"/>
  </mergeCells>
  <printOptions horizontalCentered="1"/>
  <pageMargins left="0.53" right="0.42" top="0.83" bottom="1" header="0.67" footer="0.5"/>
  <pageSetup fitToHeight="1" fitToWidth="1" horizontalDpi="600" verticalDpi="600" orientation="landscape" scale="89" r:id="rId1"/>
  <headerFooter alignWithMargins="0">
    <oddHeader>&amp;R
</oddHeader>
    <oddFooter>&amp;L&amp;"Arial,Italic"&amp;9MSDE-DBS 12 / 2007&amp;C- 20 -&amp;R&amp;"Arial,Italic"&amp;9Selected Financial Data-Part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0">
      <selection activeCell="L21" sqref="L21"/>
    </sheetView>
  </sheetViews>
  <sheetFormatPr defaultColWidth="9.140625" defaultRowHeight="12.75"/>
  <cols>
    <col min="1" max="1" width="15.28125" style="0" customWidth="1"/>
    <col min="2" max="2" width="16.28125" style="0" customWidth="1"/>
    <col min="3" max="3" width="14.8515625" style="0" customWidth="1"/>
    <col min="4" max="4" width="14.7109375" style="0" customWidth="1"/>
    <col min="5" max="5" width="13.57421875" style="0" customWidth="1"/>
    <col min="6" max="6" width="1.8515625" style="0" customWidth="1"/>
    <col min="7" max="7" width="13.140625" style="0" customWidth="1"/>
    <col min="8" max="8" width="12.28125" style="0" customWidth="1"/>
    <col min="9" max="9" width="10.28125" style="0" customWidth="1"/>
    <col min="10" max="10" width="12.421875" style="0" customWidth="1"/>
  </cols>
  <sheetData>
    <row r="1" spans="1:10" ht="12.75">
      <c r="A1" s="457" t="s">
        <v>312</v>
      </c>
      <c r="B1" s="457"/>
      <c r="C1" s="457"/>
      <c r="D1" s="457"/>
      <c r="E1" s="457"/>
      <c r="F1" s="457"/>
      <c r="G1" s="457"/>
      <c r="H1" s="457"/>
      <c r="I1" s="457"/>
      <c r="J1" s="457"/>
    </row>
    <row r="3" spans="1:10" ht="12.75">
      <c r="A3" s="457" t="s">
        <v>313</v>
      </c>
      <c r="B3" s="457"/>
      <c r="C3" s="457"/>
      <c r="D3" s="457"/>
      <c r="E3" s="457"/>
      <c r="F3" s="457"/>
      <c r="G3" s="457"/>
      <c r="H3" s="457"/>
      <c r="I3" s="457"/>
      <c r="J3" s="457"/>
    </row>
    <row r="4" spans="1:10" ht="12.75">
      <c r="A4" s="457" t="s">
        <v>314</v>
      </c>
      <c r="B4" s="457"/>
      <c r="C4" s="457"/>
      <c r="D4" s="457"/>
      <c r="E4" s="457"/>
      <c r="F4" s="457"/>
      <c r="G4" s="457"/>
      <c r="H4" s="457"/>
      <c r="I4" s="457"/>
      <c r="J4" s="457"/>
    </row>
    <row r="5" spans="1:10" ht="13.5" thickBot="1">
      <c r="A5" s="3"/>
      <c r="B5" s="13"/>
      <c r="C5" s="13"/>
      <c r="D5" s="13"/>
      <c r="E5" s="13"/>
      <c r="F5" s="13"/>
      <c r="G5" s="13"/>
      <c r="H5" s="13"/>
      <c r="I5" s="13"/>
      <c r="J5" s="13"/>
    </row>
    <row r="6" spans="1:10" ht="13.5" thickTop="1">
      <c r="A6" s="6"/>
      <c r="B6" s="494" t="s">
        <v>315</v>
      </c>
      <c r="C6" s="494"/>
      <c r="D6" s="494"/>
      <c r="E6" s="494"/>
      <c r="F6" s="384"/>
      <c r="G6" s="459" t="s">
        <v>316</v>
      </c>
      <c r="H6" s="459"/>
      <c r="I6" s="459"/>
      <c r="J6" s="459"/>
    </row>
    <row r="7" spans="1:10" ht="12.75">
      <c r="A7" s="3" t="s">
        <v>99</v>
      </c>
      <c r="B7" s="4"/>
      <c r="C7" s="383" t="s">
        <v>317</v>
      </c>
      <c r="D7" s="4" t="s">
        <v>42</v>
      </c>
      <c r="E7" s="4"/>
      <c r="F7" s="4"/>
      <c r="G7" s="4"/>
      <c r="H7" s="4"/>
      <c r="I7" s="4" t="s">
        <v>42</v>
      </c>
      <c r="J7" s="4"/>
    </row>
    <row r="8" spans="1:10" ht="12.75">
      <c r="A8" s="3" t="s">
        <v>41</v>
      </c>
      <c r="B8" s="4" t="s">
        <v>318</v>
      </c>
      <c r="C8" s="328" t="s">
        <v>319</v>
      </c>
      <c r="D8" s="4" t="s">
        <v>320</v>
      </c>
      <c r="E8" s="4" t="s">
        <v>50</v>
      </c>
      <c r="F8" s="4"/>
      <c r="G8" s="4" t="s">
        <v>318</v>
      </c>
      <c r="H8" s="4" t="s">
        <v>317</v>
      </c>
      <c r="I8" s="4" t="s">
        <v>320</v>
      </c>
      <c r="J8" s="4" t="s">
        <v>50</v>
      </c>
    </row>
    <row r="9" spans="1:10" ht="13.5" thickBot="1">
      <c r="A9" s="7" t="s">
        <v>143</v>
      </c>
      <c r="B9" s="8" t="s">
        <v>54</v>
      </c>
      <c r="C9" s="411" t="s">
        <v>366</v>
      </c>
      <c r="D9" s="8" t="s">
        <v>49</v>
      </c>
      <c r="E9" s="8" t="s">
        <v>48</v>
      </c>
      <c r="F9" s="8"/>
      <c r="G9" s="8" t="s">
        <v>54</v>
      </c>
      <c r="H9" s="8" t="s">
        <v>321</v>
      </c>
      <c r="I9" s="8" t="s">
        <v>49</v>
      </c>
      <c r="J9" s="8" t="s">
        <v>48</v>
      </c>
    </row>
    <row r="10" spans="1:10" ht="12.75">
      <c r="A10" s="3" t="s">
        <v>0</v>
      </c>
      <c r="B10" s="160">
        <f>SUM(B12:B39)</f>
        <v>5461297265.3</v>
      </c>
      <c r="C10" s="160">
        <f>SUM(C12:C39)</f>
        <v>4576952494.879999</v>
      </c>
      <c r="D10" s="160">
        <f>SUM(D12:D39)</f>
        <v>584823164.8000001</v>
      </c>
      <c r="E10" s="160">
        <f>SUM(E12:E39)</f>
        <v>299521605.62</v>
      </c>
      <c r="F10" s="160"/>
      <c r="G10" s="320">
        <f>B10/(table11!B9*1000)*100</f>
        <v>1.164214922914056</v>
      </c>
      <c r="H10" s="320">
        <f>(+C10/(table11!B9*1000))*100</f>
        <v>0.9756942603847268</v>
      </c>
      <c r="I10" s="320">
        <f>+D10/(table11!B9*1000)*100</f>
        <v>0.12466998638803913</v>
      </c>
      <c r="J10" s="320">
        <f>+E10/(table11!B9*1000)*100</f>
        <v>0.06385067614128992</v>
      </c>
    </row>
    <row r="11" spans="1:7" ht="12.75">
      <c r="A11" s="3"/>
      <c r="C11" s="4"/>
      <c r="D11" s="4"/>
      <c r="E11" s="4"/>
      <c r="F11" s="4"/>
      <c r="G11" s="329"/>
    </row>
    <row r="12" spans="1:10" ht="12.75">
      <c r="A12" s="3" t="s">
        <v>1</v>
      </c>
      <c r="B12" s="1">
        <f>SUM(C12:E12)</f>
        <v>26971505.23</v>
      </c>
      <c r="C12" s="43">
        <f>'table 2'!C11</f>
        <v>26639035.56</v>
      </c>
      <c r="D12" s="2">
        <f>table4!C11</f>
        <v>332469.67</v>
      </c>
      <c r="E12" s="2">
        <f>table5!C11</f>
        <v>0</v>
      </c>
      <c r="F12" s="2"/>
      <c r="G12" s="320">
        <f>B12/(table11!B11*1000)*100</f>
        <v>0.9739438599823494</v>
      </c>
      <c r="H12" s="320">
        <f>(+C12/(table11!B11*1000))*100</f>
        <v>0.9619383456083614</v>
      </c>
      <c r="I12" s="320">
        <f>+D12/(table11!B11*1000)*100</f>
        <v>0.012005514373988014</v>
      </c>
      <c r="J12" s="320">
        <f>+E12/(table11!B11*1000)*100</f>
        <v>0</v>
      </c>
    </row>
    <row r="13" spans="1:10" ht="12.75">
      <c r="A13" s="3" t="s">
        <v>2</v>
      </c>
      <c r="B13" s="1">
        <f>SUM(C13:E13)</f>
        <v>515399219</v>
      </c>
      <c r="C13" s="43">
        <f>'table 2'!C12</f>
        <v>449214000</v>
      </c>
      <c r="D13" s="2">
        <f>table4!C12</f>
        <v>37949814</v>
      </c>
      <c r="E13" s="2">
        <f>table5!C12</f>
        <v>28235405</v>
      </c>
      <c r="F13" s="2"/>
      <c r="G13" s="320">
        <f>B13/(table11!B12*1000)*100</f>
        <v>0.9863216443005678</v>
      </c>
      <c r="H13" s="320">
        <f>(+C13/(table11!B12*1000))*100</f>
        <v>0.8596627134641337</v>
      </c>
      <c r="I13" s="320">
        <f>+D13/(table11!B12*1000)*100</f>
        <v>0.07262471801568778</v>
      </c>
      <c r="J13" s="320">
        <f>+E13/(table11!B12*1000)*100</f>
        <v>0.05403421282074639</v>
      </c>
    </row>
    <row r="14" spans="1:10" ht="12.75">
      <c r="A14" s="3" t="s">
        <v>3</v>
      </c>
      <c r="B14" s="1">
        <f>SUM(C14:E14)</f>
        <v>210151178.94</v>
      </c>
      <c r="C14" s="43">
        <f>'table 2'!C13</f>
        <v>200042172.79999998</v>
      </c>
      <c r="D14" s="2">
        <f>table4!C13</f>
        <v>2383633.84</v>
      </c>
      <c r="E14" s="2">
        <f>table5!C13</f>
        <v>7725372.3</v>
      </c>
      <c r="F14" s="2"/>
      <c r="G14" s="320">
        <f>B14/(table11!B13*1000)*100</f>
        <v>0.9291327848201556</v>
      </c>
      <c r="H14" s="320">
        <f>(+C14/(table11!B13*1000))*100</f>
        <v>0.8844382507518792</v>
      </c>
      <c r="I14" s="320">
        <f>+D14/(table11!B13*1000)*100</f>
        <v>0.010538662494884603</v>
      </c>
      <c r="J14" s="320">
        <f>+E14/(table11!B13*1000)*100</f>
        <v>0.03415587157339166</v>
      </c>
    </row>
    <row r="15" spans="1:10" ht="12.75">
      <c r="A15" s="3" t="s">
        <v>4</v>
      </c>
      <c r="B15" s="1">
        <f>SUM(C15:E15)</f>
        <v>622549929.86</v>
      </c>
      <c r="C15" s="43">
        <f>'table 2'!C14</f>
        <v>591809878.86</v>
      </c>
      <c r="D15" s="2">
        <f>table4!C14</f>
        <v>7160114</v>
      </c>
      <c r="E15" s="2">
        <f>table5!C14</f>
        <v>23579937</v>
      </c>
      <c r="F15" s="2"/>
      <c r="G15" s="320">
        <f>B15/(table11!B14*1000)*100</f>
        <v>1.126576548844776</v>
      </c>
      <c r="H15" s="320">
        <f>(+C15/(table11!B14*1000))*100</f>
        <v>1.070948849112033</v>
      </c>
      <c r="I15" s="320">
        <f>+D15/(table11!B14*1000)*100</f>
        <v>0.012957059558691388</v>
      </c>
      <c r="J15" s="320">
        <f>+E15/(table11!B14*1000)*100</f>
        <v>0.0426706401740518</v>
      </c>
    </row>
    <row r="16" spans="1:10" ht="12.75">
      <c r="A16" s="3" t="s">
        <v>5</v>
      </c>
      <c r="B16" s="1">
        <f>SUM(C16:E16)</f>
        <v>96079131.37</v>
      </c>
      <c r="C16" s="43">
        <f>'table 2'!C15</f>
        <v>85712612</v>
      </c>
      <c r="D16" s="2">
        <f>table4!C15</f>
        <v>5035119.37</v>
      </c>
      <c r="E16" s="2">
        <f>table5!C15</f>
        <v>5331400</v>
      </c>
      <c r="F16" s="2"/>
      <c r="G16" s="320">
        <f>B16/(table11!B15*1000)*100</f>
        <v>1.1613185020934864</v>
      </c>
      <c r="H16" s="320">
        <f>(+C16/(table11!B15*1000))*100</f>
        <v>1.0360172990639747</v>
      </c>
      <c r="I16" s="320">
        <f>+D16/(table11!B15*1000)*100</f>
        <v>0.06086001404521544</v>
      </c>
      <c r="J16" s="320">
        <f>+E16/(table11!B15*1000)*100</f>
        <v>0.06444118898429643</v>
      </c>
    </row>
    <row r="17" spans="1:10" ht="12.75">
      <c r="A17" s="3"/>
      <c r="B17" s="1"/>
      <c r="C17" s="2"/>
      <c r="D17" s="2"/>
      <c r="E17" s="2"/>
      <c r="F17" s="2"/>
      <c r="G17" s="330"/>
      <c r="H17" s="330"/>
      <c r="I17" s="330"/>
      <c r="J17" s="330"/>
    </row>
    <row r="18" spans="1:10" ht="12.75">
      <c r="A18" s="3" t="s">
        <v>6</v>
      </c>
      <c r="B18" s="1">
        <f>SUM(C18:E18)</f>
        <v>11959890.83</v>
      </c>
      <c r="C18" s="43">
        <f>'table 2'!C17</f>
        <v>11300000</v>
      </c>
      <c r="D18" s="2">
        <f>table4!C17</f>
        <v>659890.83</v>
      </c>
      <c r="E18" s="2">
        <f>table5!C17</f>
        <v>0</v>
      </c>
      <c r="F18" s="2"/>
      <c r="G18" s="320">
        <f>B18/(table11!B17*1000)*100</f>
        <v>0.6905093262911517</v>
      </c>
      <c r="H18" s="320">
        <f>(+C18/(table11!B17*1000))*100</f>
        <v>0.6524102517322069</v>
      </c>
      <c r="I18" s="320">
        <f>+D18/(table11!B17*1000)*100</f>
        <v>0.038099074558944686</v>
      </c>
      <c r="J18" s="320">
        <f>+E18/(table11!B17*1000)*100</f>
        <v>0</v>
      </c>
    </row>
    <row r="19" spans="1:10" ht="12.75">
      <c r="A19" s="3" t="s">
        <v>7</v>
      </c>
      <c r="B19" s="1">
        <f>SUM(C19:E19)</f>
        <v>154988892.19</v>
      </c>
      <c r="C19" s="43">
        <f>'table 2'!C18</f>
        <v>135806760</v>
      </c>
      <c r="D19" s="2">
        <f>table4!C18</f>
        <v>10531827.87</v>
      </c>
      <c r="E19" s="2">
        <f>table5!C18</f>
        <v>8650304.32</v>
      </c>
      <c r="F19" s="2"/>
      <c r="G19" s="320">
        <f>B19/(table11!B18*1000)*100</f>
        <v>1.1625639010789741</v>
      </c>
      <c r="H19" s="320">
        <f>(+C19/(table11!B18*1000))*100</f>
        <v>1.0186796903157862</v>
      </c>
      <c r="I19" s="320">
        <f>+D19/(table11!B18*1000)*100</f>
        <v>0.078998712236937</v>
      </c>
      <c r="J19" s="320">
        <f>+E19/(table11!B18*1000)*100</f>
        <v>0.06488549852625089</v>
      </c>
    </row>
    <row r="20" spans="1:10" ht="12.75">
      <c r="A20" s="3" t="s">
        <v>8</v>
      </c>
      <c r="B20" s="1">
        <f>SUM(C20:E20)</f>
        <v>68101425.61</v>
      </c>
      <c r="C20" s="43">
        <f>'table 2'!C19</f>
        <v>62229000</v>
      </c>
      <c r="D20" s="2">
        <f>table4!C19</f>
        <v>5872425.61</v>
      </c>
      <c r="E20" s="2">
        <f>table5!C19</f>
        <v>0</v>
      </c>
      <c r="F20" s="2"/>
      <c r="G20" s="320">
        <f>B20/(table11!B19*1000)*100</f>
        <v>1.005669666876312</v>
      </c>
      <c r="H20" s="320">
        <f>(+C20/(table11!B19*1000))*100</f>
        <v>0.9189501855429077</v>
      </c>
      <c r="I20" s="320">
        <f>+D20/(table11!B19*1000)*100</f>
        <v>0.08671948133340442</v>
      </c>
      <c r="J20" s="320">
        <f>+E20/(table11!B19*1000)*100</f>
        <v>0</v>
      </c>
    </row>
    <row r="21" spans="1:10" ht="12.75">
      <c r="A21" s="3" t="s">
        <v>9</v>
      </c>
      <c r="B21" s="1">
        <f>SUM(C21:E21)</f>
        <v>157199286.7</v>
      </c>
      <c r="C21" s="43">
        <f>'table 2'!C20+232432.55</f>
        <v>112449432.55</v>
      </c>
      <c r="D21" s="2">
        <f>table4!C20</f>
        <v>40108081.15</v>
      </c>
      <c r="E21" s="2">
        <f>table5!C20</f>
        <v>4641773</v>
      </c>
      <c r="F21" s="2"/>
      <c r="G21" s="320">
        <f>B21/(table11!B20*1000)*100</f>
        <v>1.3987711463880261</v>
      </c>
      <c r="H21" s="320">
        <f>(+C21/(table11!B20*1000))*100</f>
        <v>1.0005835584917226</v>
      </c>
      <c r="I21" s="320">
        <f>+D21/(table11!B20*1000)*100</f>
        <v>0.35688474055658354</v>
      </c>
      <c r="J21" s="320">
        <f>+E21/(table11!B20*1000)*100</f>
        <v>0.041302847339720075</v>
      </c>
    </row>
    <row r="22" spans="1:10" ht="12.75">
      <c r="A22" s="3" t="s">
        <v>10</v>
      </c>
      <c r="B22" s="1">
        <f>SUM(C22:E22)</f>
        <v>17899148</v>
      </c>
      <c r="C22" s="43">
        <f>'table 2'!C21</f>
        <v>15422902</v>
      </c>
      <c r="D22" s="2">
        <f>table4!C21</f>
        <v>863791</v>
      </c>
      <c r="E22" s="2">
        <f>table5!C21</f>
        <v>1612455</v>
      </c>
      <c r="F22" s="2"/>
      <c r="G22" s="320">
        <f>B22/(table11!B21*1000)*100</f>
        <v>0.8449143881608171</v>
      </c>
      <c r="H22" s="320">
        <f>(+C22/(table11!B21*1000))*100</f>
        <v>0.7280252561180143</v>
      </c>
      <c r="I22" s="320">
        <f>+D22/(table11!B21*1000)*100</f>
        <v>0.040774535428380186</v>
      </c>
      <c r="J22" s="320">
        <f>+E22/(table11!B21*1000)*100</f>
        <v>0.07611459661442266</v>
      </c>
    </row>
    <row r="23" spans="1:10" ht="12.75">
      <c r="A23" s="3"/>
      <c r="B23" s="1"/>
      <c r="C23" s="2"/>
      <c r="D23" s="2"/>
      <c r="E23" s="2"/>
      <c r="F23" s="2"/>
      <c r="G23" s="330"/>
      <c r="H23" s="330"/>
      <c r="I23" s="330"/>
      <c r="J23" s="330"/>
    </row>
    <row r="24" spans="1:10" ht="12.75">
      <c r="A24" s="3" t="s">
        <v>11</v>
      </c>
      <c r="B24" s="1">
        <f>SUM(C24:E24)</f>
        <v>246233837.86</v>
      </c>
      <c r="C24" s="43">
        <f>'table 2'!C23</f>
        <v>188694907.86</v>
      </c>
      <c r="D24" s="2">
        <f>table4!C23</f>
        <v>39665211</v>
      </c>
      <c r="E24" s="2">
        <f>table5!C23</f>
        <v>17873719</v>
      </c>
      <c r="F24" s="2"/>
      <c r="G24" s="320">
        <f>B24/(table11!B23*1000)*100</f>
        <v>1.321525594465254</v>
      </c>
      <c r="H24" s="320">
        <f>(+C24/(table11!B23*1000))*100</f>
        <v>1.0127168241760223</v>
      </c>
      <c r="I24" s="320">
        <f>+D24/(table11!B23*1000)*100</f>
        <v>0.21288134889148794</v>
      </c>
      <c r="J24" s="320">
        <f>+E24/(table11!B23*1000)*100</f>
        <v>0.09592742139774364</v>
      </c>
    </row>
    <row r="25" spans="1:10" ht="12.75">
      <c r="A25" s="3" t="s">
        <v>12</v>
      </c>
      <c r="B25" s="1">
        <f>SUM(C25:E25)</f>
        <v>19517568.89</v>
      </c>
      <c r="C25" s="43">
        <f>'table 2'!C24</f>
        <v>18830157.5</v>
      </c>
      <c r="D25" s="2">
        <f>table4!C24</f>
        <v>687411.39</v>
      </c>
      <c r="E25" s="2">
        <f>table5!C24</f>
        <v>0</v>
      </c>
      <c r="F25" s="2"/>
      <c r="G25" s="320">
        <f>B25/(table11!B24*1000)*100</f>
        <v>0.695346720543749</v>
      </c>
      <c r="H25" s="320">
        <f>(+C25/(table11!B24*1000))*100</f>
        <v>0.6708565159288791</v>
      </c>
      <c r="I25" s="320">
        <f>+D25/(table11!B24*1000)*100</f>
        <v>0.024490204614869948</v>
      </c>
      <c r="J25" s="320">
        <f>+E25/(table11!B24*1000)*100</f>
        <v>0</v>
      </c>
    </row>
    <row r="26" spans="1:10" ht="12.75">
      <c r="A26" s="3" t="s">
        <v>13</v>
      </c>
      <c r="B26" s="1">
        <f>SUM(C26:E26)</f>
        <v>232622732</v>
      </c>
      <c r="C26" s="43">
        <f>'table 2'!C25</f>
        <v>175414800</v>
      </c>
      <c r="D26" s="2">
        <f>table4!C25</f>
        <v>49268486</v>
      </c>
      <c r="E26" s="2">
        <f>table5!C25</f>
        <v>7939446</v>
      </c>
      <c r="F26" s="2"/>
      <c r="G26" s="320">
        <f>B26/(table11!B25*1000)*100</f>
        <v>1.3613519631106157</v>
      </c>
      <c r="H26" s="320">
        <f>(+C26/(table11!B25*1000))*100</f>
        <v>1.0265603893718178</v>
      </c>
      <c r="I26" s="320">
        <f>+D26/(table11!B25*1000)*100</f>
        <v>0.2883284430499591</v>
      </c>
      <c r="J26" s="320">
        <f>+E26/(table11!B25*1000)*100</f>
        <v>0.04646313068883882</v>
      </c>
    </row>
    <row r="27" spans="1:10" ht="12.75">
      <c r="A27" s="3" t="s">
        <v>14</v>
      </c>
      <c r="B27" s="1">
        <f>SUM(C27:E27)</f>
        <v>475749713</v>
      </c>
      <c r="C27" s="43">
        <f>'table 2'!C26</f>
        <v>362590015</v>
      </c>
      <c r="D27" s="2">
        <f>table4!C26</f>
        <v>82879987</v>
      </c>
      <c r="E27" s="2">
        <f>table5!C26</f>
        <v>30279711</v>
      </c>
      <c r="F27" s="2"/>
      <c r="G27" s="320">
        <f>B27/(table11!B26*1000)*100</f>
        <v>1.5623329107342039</v>
      </c>
      <c r="H27" s="320">
        <f>(+C27/(table11!B26*1000))*100</f>
        <v>1.1907233952195966</v>
      </c>
      <c r="I27" s="320">
        <f>+D27/(table11!B26*1000)*100</f>
        <v>0.2721727996740231</v>
      </c>
      <c r="J27" s="320">
        <f>+E27/(table11!B26*1000)*100</f>
        <v>0.09943671584058422</v>
      </c>
    </row>
    <row r="28" spans="1:10" ht="12.75">
      <c r="A28" s="3" t="s">
        <v>15</v>
      </c>
      <c r="B28" s="1">
        <f>SUM(C28:E28)</f>
        <v>19485987</v>
      </c>
      <c r="C28" s="43">
        <f>'table 2'!C27</f>
        <v>14275613</v>
      </c>
      <c r="D28" s="2">
        <f>table4!C27</f>
        <v>5210374</v>
      </c>
      <c r="E28" s="2">
        <f>table5!C27</f>
        <v>0</v>
      </c>
      <c r="F28" s="2"/>
      <c r="G28" s="320">
        <f>B28/(table11!B27*1000)*100</f>
        <v>1.0435174261528584</v>
      </c>
      <c r="H28" s="320">
        <f>(+C28/(table11!B27*1000))*100</f>
        <v>0.764490448162276</v>
      </c>
      <c r="I28" s="320">
        <f>+D28/(table11!B27*1000)*100</f>
        <v>0.27902697799058235</v>
      </c>
      <c r="J28" s="320">
        <f>+E28/(table11!B27*1000)*100</f>
        <v>0</v>
      </c>
    </row>
    <row r="29" spans="1:10" ht="12.75">
      <c r="A29" s="3"/>
      <c r="B29" s="1"/>
      <c r="C29" s="2"/>
      <c r="D29" s="2"/>
      <c r="E29" s="2"/>
      <c r="F29" s="2"/>
      <c r="G29" s="330"/>
      <c r="H29" s="330"/>
      <c r="I29" s="330"/>
      <c r="J29" s="330"/>
    </row>
    <row r="30" spans="1:10" ht="12.75">
      <c r="A30" s="3" t="s">
        <v>16</v>
      </c>
      <c r="B30" s="1">
        <f>SUM(C30:E30)</f>
        <v>1571720435.32</v>
      </c>
      <c r="C30" s="43">
        <f>'table 2'!C29</f>
        <v>1283070184.52</v>
      </c>
      <c r="D30" s="2">
        <f>table4!C29</f>
        <v>191511307.8</v>
      </c>
      <c r="E30" s="2">
        <f>table5!C29</f>
        <v>97138943</v>
      </c>
      <c r="F30" s="2"/>
      <c r="G30" s="320">
        <f>B30/(table11!B29*1000)*100</f>
        <v>1.2705858466224522</v>
      </c>
      <c r="H30" s="320">
        <f>(+C30/(table11!B29*1000))*100</f>
        <v>1.0372396897304788</v>
      </c>
      <c r="I30" s="320">
        <f>+D30/(table11!B29*1000)*100</f>
        <v>0.154818599854429</v>
      </c>
      <c r="J30" s="320">
        <f>+E30/(table11!B29*1000)*100</f>
        <v>0.0785275570375442</v>
      </c>
    </row>
    <row r="31" spans="1:10" ht="12.75">
      <c r="A31" s="3" t="s">
        <v>17</v>
      </c>
      <c r="B31" s="1">
        <f>SUM(C31:E31)</f>
        <v>628813764.14</v>
      </c>
      <c r="C31" s="43">
        <f>'table 2'!C30</f>
        <v>522227299.25</v>
      </c>
      <c r="D31" s="2">
        <f>table4!C30</f>
        <v>69132747.89</v>
      </c>
      <c r="E31" s="2">
        <f>table5!C30</f>
        <v>37453717</v>
      </c>
      <c r="F31" s="2"/>
      <c r="G31" s="320">
        <f>B31/(table11!B30*1000)*100</f>
        <v>1.1583362215394795</v>
      </c>
      <c r="H31" s="320">
        <f>(+C31/(table11!B30*1000))*100</f>
        <v>0.9619935680404936</v>
      </c>
      <c r="I31" s="320">
        <f>+D31/(table11!B30*1000)*100</f>
        <v>0.12734925751039244</v>
      </c>
      <c r="J31" s="320">
        <f>+E31/(table11!B30*1000)*100</f>
        <v>0.06899339598859336</v>
      </c>
    </row>
    <row r="32" spans="1:10" ht="12.75">
      <c r="A32" s="3" t="s">
        <v>18</v>
      </c>
      <c r="B32" s="1">
        <f>SUM(C32:E32)</f>
        <v>45468108.25</v>
      </c>
      <c r="C32" s="43">
        <f>'table 2'!C31</f>
        <v>38174413</v>
      </c>
      <c r="D32" s="2">
        <f>table4!C31</f>
        <v>2342993.25</v>
      </c>
      <c r="E32" s="2">
        <f>table5!C31</f>
        <v>4950702</v>
      </c>
      <c r="F32" s="2"/>
      <c r="G32" s="320">
        <f>B32/(table11!B31*1000)*100</f>
        <v>0.8851129037972475</v>
      </c>
      <c r="H32" s="320">
        <f>(+C32/(table11!B31*1000))*100</f>
        <v>0.7431289059884165</v>
      </c>
      <c r="I32" s="320">
        <f>+D32/(table11!B31*1000)*100</f>
        <v>0.04561028903340949</v>
      </c>
      <c r="J32" s="320">
        <f>+E32/(table11!B31*1000)*100</f>
        <v>0.09637370877542153</v>
      </c>
    </row>
    <row r="33" spans="1:10" ht="12.75">
      <c r="A33" s="3" t="s">
        <v>19</v>
      </c>
      <c r="B33" s="1">
        <f>SUM(C33:E33)</f>
        <v>83101519.91</v>
      </c>
      <c r="C33" s="43">
        <f>'table 2'!C32</f>
        <v>62634224</v>
      </c>
      <c r="D33" s="2">
        <f>table4!C32</f>
        <v>14005288.91</v>
      </c>
      <c r="E33" s="2">
        <f>table5!C32</f>
        <v>6462007</v>
      </c>
      <c r="F33" s="2"/>
      <c r="G33" s="320">
        <f>B33/(table11!B32*1000)*100</f>
        <v>1.2164276487630137</v>
      </c>
      <c r="H33" s="320">
        <f>(+C33/(table11!B32*1000))*100</f>
        <v>0.9168304251827244</v>
      </c>
      <c r="I33" s="320">
        <f>+D33/(table11!B32*1000)*100</f>
        <v>0.20500732931826846</v>
      </c>
      <c r="J33" s="320">
        <f>+E33/(table11!B32*1000)*100</f>
        <v>0.09458989426202104</v>
      </c>
    </row>
    <row r="34" spans="1:10" ht="12.75">
      <c r="A34" s="3" t="s">
        <v>20</v>
      </c>
      <c r="B34" s="1">
        <f>SUM(C34:E34)</f>
        <v>10163341.26</v>
      </c>
      <c r="C34" s="43">
        <f>'table 2'!C33</f>
        <v>8547712</v>
      </c>
      <c r="D34" s="2">
        <f>table4!C33</f>
        <v>1615629.26</v>
      </c>
      <c r="E34" s="2">
        <f>table5!C33</f>
        <v>0</v>
      </c>
      <c r="F34" s="2"/>
      <c r="G34" s="320">
        <f>B34/(table11!B33*1000)*100</f>
        <v>1.0587045404118214</v>
      </c>
      <c r="H34" s="320">
        <f>(+C34/(table11!B33*1000))*100</f>
        <v>0.8904061443010732</v>
      </c>
      <c r="I34" s="320">
        <f>+D34/(table11!B33*1000)*100</f>
        <v>0.16829839611074826</v>
      </c>
      <c r="J34" s="320">
        <f>+E34/(table11!B33*1000)*100</f>
        <v>0</v>
      </c>
    </row>
    <row r="35" spans="1:10" ht="12.75">
      <c r="A35" s="3"/>
      <c r="B35" s="1"/>
      <c r="C35" s="2"/>
      <c r="D35" s="2"/>
      <c r="E35" s="2"/>
      <c r="F35" s="2"/>
      <c r="G35" s="330"/>
      <c r="H35" s="330"/>
      <c r="I35" s="330"/>
      <c r="J35" s="330"/>
    </row>
    <row r="36" spans="1:10" ht="12.75">
      <c r="A36" s="3" t="s">
        <v>21</v>
      </c>
      <c r="B36" s="1">
        <f>SUM(C36:E36)</f>
        <v>31112152.7</v>
      </c>
      <c r="C36" s="43">
        <f>'table 2'!C35</f>
        <v>27897682</v>
      </c>
      <c r="D36" s="2">
        <f>table4!C35</f>
        <v>1186171.7</v>
      </c>
      <c r="E36" s="2">
        <f>table5!C35</f>
        <v>2028299</v>
      </c>
      <c r="F36" s="2"/>
      <c r="G36" s="320">
        <f>B36/(table11!B35*1000)*100</f>
        <v>0.5351960865096397</v>
      </c>
      <c r="H36" s="320">
        <f>(+C36/(table11!B35*1000))*100</f>
        <v>0.47990026190281637</v>
      </c>
      <c r="I36" s="320">
        <f>+D36/(table11!B35*1000)*100</f>
        <v>0.020404709950156752</v>
      </c>
      <c r="J36" s="320">
        <f>+E36/(table11!B35*1000)*100</f>
        <v>0.03489111465666648</v>
      </c>
    </row>
    <row r="37" spans="1:10" ht="12.75">
      <c r="A37" s="3" t="s">
        <v>22</v>
      </c>
      <c r="B37" s="1">
        <f>SUM(C37:E37)</f>
        <v>95488790.98</v>
      </c>
      <c r="C37" s="43">
        <f>'table 2'!C36</f>
        <v>81977718.98</v>
      </c>
      <c r="D37" s="2">
        <f>table4!C36</f>
        <v>8090097</v>
      </c>
      <c r="E37" s="2">
        <f>table5!C36</f>
        <v>5420975</v>
      </c>
      <c r="F37" s="2"/>
      <c r="G37" s="320">
        <f>B37/(table11!B36*1000)*100</f>
        <v>1.1028883587730054</v>
      </c>
      <c r="H37" s="320">
        <f>(+C37/(table11!B36*1000))*100</f>
        <v>0.9468364926805241</v>
      </c>
      <c r="I37" s="320">
        <f>+D37/(table11!B36*1000)*100</f>
        <v>0.09344001228912004</v>
      </c>
      <c r="J37" s="320">
        <f>+E37/(table11!B36*1000)*100</f>
        <v>0.06261185380336137</v>
      </c>
    </row>
    <row r="38" spans="1:10" ht="12.75">
      <c r="A38" s="3" t="s">
        <v>23</v>
      </c>
      <c r="B38" s="1">
        <f>SUM(C38:E38)</f>
        <v>53712575</v>
      </c>
      <c r="C38" s="43">
        <f>'table 2'!C37</f>
        <v>46925458</v>
      </c>
      <c r="D38" s="2">
        <f>table4!C37</f>
        <v>0</v>
      </c>
      <c r="E38" s="2">
        <f>table5!C37</f>
        <v>6787117</v>
      </c>
      <c r="F38" s="2"/>
      <c r="G38" s="320">
        <f>B38/(table11!B37*1000)*100</f>
        <v>1.0887693685136346</v>
      </c>
      <c r="H38" s="320">
        <f>(+C38/(table11!B37*1000))*100</f>
        <v>0.9511925517231873</v>
      </c>
      <c r="I38" s="320">
        <f>+D38/(table11!B37*1000)*100</f>
        <v>0</v>
      </c>
      <c r="J38" s="320">
        <f>+E38/(table11!B37*1000)*100</f>
        <v>0.1375768167904472</v>
      </c>
    </row>
    <row r="39" spans="1:10" ht="12.75">
      <c r="A39" s="14" t="s">
        <v>24</v>
      </c>
      <c r="B39" s="331">
        <f>SUM(C39:E39)</f>
        <v>66807131.26</v>
      </c>
      <c r="C39" s="332">
        <f>'table 2'!C38</f>
        <v>55066516</v>
      </c>
      <c r="D39" s="272">
        <f>table4!C38</f>
        <v>8330292.26</v>
      </c>
      <c r="E39" s="272">
        <f>table5!C38</f>
        <v>3410323</v>
      </c>
      <c r="F39" s="272"/>
      <c r="G39" s="333">
        <f>B39/(table11!B38*1000)*100</f>
        <v>0.5777203552566336</v>
      </c>
      <c r="H39" s="333">
        <f>(+C39/(table11!B38*1000))*100</f>
        <v>0.4761923852478424</v>
      </c>
      <c r="I39" s="333">
        <f>+D39/(table11!B38*1000)*100</f>
        <v>0.07203691152534582</v>
      </c>
      <c r="J39" s="333">
        <f>+E39/(table11!B38*1000)*100</f>
        <v>0.029491058483445323</v>
      </c>
    </row>
    <row r="40" spans="1:10" ht="12.75">
      <c r="A40" s="69" t="s">
        <v>367</v>
      </c>
      <c r="B40" s="1"/>
      <c r="G40" s="330"/>
      <c r="H40" s="330"/>
      <c r="I40" s="330"/>
      <c r="J40" s="330"/>
    </row>
    <row r="41" ht="12.75">
      <c r="A41" s="92"/>
    </row>
    <row r="42" ht="12.75">
      <c r="A42" s="92"/>
    </row>
  </sheetData>
  <sheetProtection password="CAF5" sheet="1" objects="1" scenarios="1"/>
  <mergeCells count="5">
    <mergeCell ref="A1:J1"/>
    <mergeCell ref="A3:J3"/>
    <mergeCell ref="A4:J4"/>
    <mergeCell ref="B6:E6"/>
    <mergeCell ref="G6:J6"/>
  </mergeCells>
  <printOptions/>
  <pageMargins left="0.75" right="0.53" top="0.5" bottom="0.5" header="0.5" footer="0.5"/>
  <pageSetup horizontalDpi="600" verticalDpi="600" orientation="landscape" r:id="rId1"/>
  <headerFooter alignWithMargins="0">
    <oddFooter>&amp;L&amp;"Arial,Italic"MSDE - DBS  12 / 2007&amp;C- 21-&amp;R&amp;"Arial,Italic"Selected Financial Data - Part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6"/>
  <sheetViews>
    <sheetView workbookViewId="0" topLeftCell="A10">
      <selection activeCell="G24" sqref="G24"/>
    </sheetView>
  </sheetViews>
  <sheetFormatPr defaultColWidth="9.140625" defaultRowHeight="12.75"/>
  <cols>
    <col min="1" max="1" width="14.140625" style="127" customWidth="1"/>
    <col min="2" max="2" width="17.8515625" style="127" bestFit="1" customWidth="1"/>
    <col min="3" max="3" width="16.57421875" style="127" bestFit="1" customWidth="1"/>
    <col min="4" max="4" width="12.28125" style="127" customWidth="1"/>
    <col min="5" max="5" width="15.140625" style="127" bestFit="1" customWidth="1"/>
    <col min="6" max="6" width="15.00390625" style="127" bestFit="1" customWidth="1"/>
    <col min="7" max="7" width="13.00390625" style="127" customWidth="1"/>
    <col min="8" max="8" width="2.7109375" style="127" customWidth="1"/>
    <col min="9" max="12" width="9.140625" style="127" customWidth="1"/>
    <col min="15" max="15" width="16.00390625" style="0" bestFit="1" customWidth="1"/>
    <col min="16" max="16" width="14.8515625" style="0" customWidth="1"/>
    <col min="17" max="17" width="15.00390625" style="0" bestFit="1" customWidth="1"/>
  </cols>
  <sheetData>
    <row r="1" spans="1:12" ht="12.75">
      <c r="A1" s="451" t="s">
        <v>121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3" spans="1:12" ht="12.75">
      <c r="A3" s="451" t="s">
        <v>254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</row>
    <row r="4" spans="1:12" ht="12.75">
      <c r="A4" s="451" t="s">
        <v>144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ht="13.5" thickBot="1">
      <c r="A5" s="25"/>
      <c r="B5" s="25"/>
      <c r="C5" s="25"/>
      <c r="D5" s="25"/>
      <c r="E5" s="25"/>
      <c r="F5" s="25"/>
      <c r="G5" s="25"/>
      <c r="H5" s="25"/>
      <c r="I5" s="51"/>
      <c r="J5" s="25"/>
      <c r="K5" s="25"/>
      <c r="L5" s="25"/>
    </row>
    <row r="6" spans="1:59" ht="15" customHeight="1" thickTop="1">
      <c r="A6" s="153" t="s">
        <v>99</v>
      </c>
      <c r="B6" s="154" t="s">
        <v>52</v>
      </c>
      <c r="C6" s="455" t="s">
        <v>102</v>
      </c>
      <c r="D6" s="455"/>
      <c r="E6" s="456"/>
      <c r="F6" s="456"/>
      <c r="G6" s="153"/>
      <c r="H6" s="153"/>
      <c r="I6" s="455" t="s">
        <v>104</v>
      </c>
      <c r="J6" s="455"/>
      <c r="K6" s="455"/>
      <c r="L6" s="45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12" ht="12.75">
      <c r="A7" s="37" t="s">
        <v>41</v>
      </c>
      <c r="B7" s="155" t="s">
        <v>105</v>
      </c>
      <c r="C7" s="454" t="s">
        <v>99</v>
      </c>
      <c r="D7" s="454"/>
      <c r="E7" s="156"/>
      <c r="F7" s="156"/>
      <c r="G7" s="155" t="s">
        <v>101</v>
      </c>
      <c r="H7" s="155"/>
      <c r="I7" s="157"/>
      <c r="J7" s="157"/>
      <c r="K7" s="157"/>
      <c r="L7" s="157" t="s">
        <v>101</v>
      </c>
    </row>
    <row r="8" spans="1:17" ht="13.5" thickBot="1">
      <c r="A8" s="58" t="s">
        <v>143</v>
      </c>
      <c r="B8" s="158" t="s">
        <v>106</v>
      </c>
      <c r="C8" s="55" t="s">
        <v>325</v>
      </c>
      <c r="D8" s="55" t="s">
        <v>334</v>
      </c>
      <c r="E8" s="55" t="s">
        <v>53</v>
      </c>
      <c r="F8" s="55" t="s">
        <v>65</v>
      </c>
      <c r="G8" s="55" t="s">
        <v>103</v>
      </c>
      <c r="H8" s="55"/>
      <c r="I8" s="158" t="s">
        <v>99</v>
      </c>
      <c r="J8" s="158" t="s">
        <v>53</v>
      </c>
      <c r="K8" s="159" t="s">
        <v>65</v>
      </c>
      <c r="L8" s="55" t="s">
        <v>103</v>
      </c>
      <c r="O8" s="3"/>
      <c r="P8" s="3"/>
      <c r="Q8" s="3"/>
    </row>
    <row r="9" spans="1:17" s="25" customFormat="1" ht="12.75">
      <c r="A9" s="37" t="s">
        <v>0</v>
      </c>
      <c r="B9" s="279">
        <f aca="true" t="shared" si="0" ref="B9:G9">SUM(B11:B38)</f>
        <v>8920244836.91</v>
      </c>
      <c r="C9" s="279">
        <f t="shared" si="0"/>
        <v>4576720062.33</v>
      </c>
      <c r="D9" s="279">
        <f t="shared" si="0"/>
        <v>94840653.96999998</v>
      </c>
      <c r="E9" s="279">
        <f t="shared" si="0"/>
        <v>3578447001.8899994</v>
      </c>
      <c r="F9" s="279">
        <f t="shared" si="0"/>
        <v>651260797.69</v>
      </c>
      <c r="G9" s="279">
        <f t="shared" si="0"/>
        <v>18976321.029999997</v>
      </c>
      <c r="H9" s="160"/>
      <c r="I9" s="162">
        <f>IF(B9&lt;&gt;0,((+C9+D9)/B9*100),(IF(C9&lt;&gt;0,1,0)))</f>
        <v>52.37031944426139</v>
      </c>
      <c r="J9" s="162">
        <f>IF($B9&lt;&gt;0,(E9/$B9*100),(IF(E9&lt;&gt;0,1,0)))</f>
        <v>40.116017747440935</v>
      </c>
      <c r="K9" s="162">
        <f>IF($B9&lt;&gt;0,(F9/$B9*100),(IF(F9&lt;&gt;0,1,0)))</f>
        <v>7.300929622416046</v>
      </c>
      <c r="L9" s="162">
        <f>IF($B9&lt;&gt;0,(G9/$B9*100),(IF(G9&lt;&gt;0,1,0)))</f>
        <v>0.21273318588162712</v>
      </c>
      <c r="M9" s="280"/>
      <c r="O9" s="281"/>
      <c r="P9" s="281"/>
      <c r="Q9" s="161"/>
    </row>
    <row r="10" spans="1:17" ht="12.75">
      <c r="A10" s="37"/>
      <c r="B10" s="203"/>
      <c r="C10" s="204"/>
      <c r="D10" s="205"/>
      <c r="E10" s="202"/>
      <c r="F10" s="206"/>
      <c r="G10" s="207"/>
      <c r="H10" s="207"/>
      <c r="I10" s="208"/>
      <c r="J10" s="208"/>
      <c r="K10" s="208"/>
      <c r="L10" s="208"/>
      <c r="O10" s="3"/>
      <c r="P10" s="48"/>
      <c r="Q10" s="3"/>
    </row>
    <row r="11" spans="1:17" ht="12.75">
      <c r="A11" s="25" t="s">
        <v>1</v>
      </c>
      <c r="B11" s="56">
        <f aca="true" t="shared" si="1" ref="B11:B38">SUM(C11:G11)</f>
        <v>100104494.24000001</v>
      </c>
      <c r="C11" s="233">
        <v>26639035.56</v>
      </c>
      <c r="D11" s="233">
        <v>810302.9</v>
      </c>
      <c r="E11" s="56">
        <f>state1!C12-state1!K12+'table 6'!G12</f>
        <v>60622958.56</v>
      </c>
      <c r="F11" s="35">
        <f>fed1!B12-fed2!K12</f>
        <v>11756738.82</v>
      </c>
      <c r="G11" s="233">
        <v>275458.4</v>
      </c>
      <c r="H11" s="209"/>
      <c r="I11" s="162">
        <f aca="true" t="shared" si="2" ref="I11:I38">IF(B11&lt;&gt;0,((+C11+D11)/B11*100),(IF(C11&lt;&gt;0,1,0)))</f>
        <v>27.420685423164272</v>
      </c>
      <c r="J11" s="162">
        <f>IF($B11&lt;&gt;0,(E11/$B11*100),(IF(E11&lt;&gt;0,1,0)))</f>
        <v>60.55967718557847</v>
      </c>
      <c r="K11" s="162">
        <f aca="true" t="shared" si="3" ref="K11:L15">IF($B11&lt;&gt;0,(F11/$B11*100),(IF(F11&lt;&gt;0,1,0)))</f>
        <v>11.74446652895851</v>
      </c>
      <c r="L11" s="162">
        <f t="shared" si="3"/>
        <v>0.2751708622987395</v>
      </c>
      <c r="M11" s="18"/>
      <c r="O11" s="20"/>
      <c r="P11" s="94"/>
      <c r="Q11" s="20"/>
    </row>
    <row r="12" spans="1:17" ht="12.75">
      <c r="A12" s="127" t="s">
        <v>2</v>
      </c>
      <c r="B12" s="56">
        <f t="shared" si="1"/>
        <v>708406473.5</v>
      </c>
      <c r="C12" s="233">
        <v>449214000</v>
      </c>
      <c r="D12" s="214">
        <v>6805076.049999999</v>
      </c>
      <c r="E12" s="56">
        <f>state1!C13-state1!K13+'table 6'!G13</f>
        <v>208064075.84999996</v>
      </c>
      <c r="F12" s="35">
        <f>fed1!B13-fed2!K13</f>
        <v>44314551.60000001</v>
      </c>
      <c r="G12" s="233">
        <v>8770</v>
      </c>
      <c r="H12" s="211"/>
      <c r="I12" s="162">
        <f t="shared" si="2"/>
        <v>64.37251678361463</v>
      </c>
      <c r="J12" s="162">
        <f>IF($B12&lt;&gt;0,(E12/$B12*100),(IF(E12&lt;&gt;0,1,0)))</f>
        <v>29.370719160995918</v>
      </c>
      <c r="K12" s="162">
        <f t="shared" si="3"/>
        <v>6.255526065573144</v>
      </c>
      <c r="L12" s="162">
        <f t="shared" si="3"/>
        <v>0.0012379898163084758</v>
      </c>
      <c r="O12" s="20"/>
      <c r="P12" s="94"/>
      <c r="Q12" s="20"/>
    </row>
    <row r="13" spans="1:17" ht="12.75">
      <c r="A13" s="127" t="s">
        <v>3</v>
      </c>
      <c r="B13" s="56">
        <f t="shared" si="1"/>
        <v>1022650630.3799999</v>
      </c>
      <c r="C13" s="233">
        <f>207767545.1-7725372.3</f>
        <v>200042172.79999998</v>
      </c>
      <c r="D13" s="233">
        <v>15227636.959999997</v>
      </c>
      <c r="E13" s="56">
        <f>state1!C14-state1!K14+'table 6'!G14</f>
        <v>676735618.1899999</v>
      </c>
      <c r="F13" s="35">
        <f>fed1!B14-fed2!K14</f>
        <v>130645202.42999999</v>
      </c>
      <c r="G13" s="366">
        <v>0</v>
      </c>
      <c r="H13" s="211"/>
      <c r="I13" s="162">
        <f>IF(B13&lt;&gt;0,((+C13+D13)/B13*100),(IF(C13&lt;&gt;0,1,0)))</f>
        <v>21.050181104372793</v>
      </c>
      <c r="J13" s="162">
        <f>IF($B13&lt;&gt;0,(E13/$B13*100),(IF(E13&lt;&gt;0,1,0)))</f>
        <v>66.17466396500791</v>
      </c>
      <c r="K13" s="162">
        <f t="shared" si="3"/>
        <v>12.775154930619308</v>
      </c>
      <c r="L13" s="162">
        <f t="shared" si="3"/>
        <v>0</v>
      </c>
      <c r="O13" s="20"/>
      <c r="P13" s="94"/>
      <c r="Q13" s="20"/>
    </row>
    <row r="14" spans="1:17" ht="12.75">
      <c r="A14" s="127" t="s">
        <v>4</v>
      </c>
      <c r="B14" s="56">
        <f t="shared" si="1"/>
        <v>1081839731.9</v>
      </c>
      <c r="C14" s="56">
        <v>591809878.86</v>
      </c>
      <c r="D14" s="56">
        <v>5415674.489999998</v>
      </c>
      <c r="E14" s="56">
        <f>state1!C15-state1!K15+'table 6'!G15</f>
        <v>390434514.65</v>
      </c>
      <c r="F14" s="35">
        <f>fed1!B15-fed2!K15</f>
        <v>84270816.89999999</v>
      </c>
      <c r="G14" s="233">
        <v>9908847</v>
      </c>
      <c r="H14" s="211"/>
      <c r="I14" s="162">
        <f t="shared" si="2"/>
        <v>55.20462372934964</v>
      </c>
      <c r="J14" s="162">
        <f>IF($B14&lt;&gt;0,(E14/$B14*100),(IF(E14&lt;&gt;0,1,0)))</f>
        <v>36.08986646888005</v>
      </c>
      <c r="K14" s="162">
        <f t="shared" si="3"/>
        <v>7.78958420689522</v>
      </c>
      <c r="L14" s="162">
        <f t="shared" si="3"/>
        <v>0.9159255948750756</v>
      </c>
      <c r="O14" s="20"/>
      <c r="P14" s="94"/>
      <c r="Q14" s="20"/>
    </row>
    <row r="15" spans="1:17" ht="12.75">
      <c r="A15" s="127" t="s">
        <v>5</v>
      </c>
      <c r="B15" s="56">
        <f t="shared" si="1"/>
        <v>163664462.82000002</v>
      </c>
      <c r="C15" s="56">
        <v>85712612</v>
      </c>
      <c r="D15" s="56">
        <v>2880686.74</v>
      </c>
      <c r="E15" s="56">
        <f>state1!C16-state1!K16+'table 6'!G16</f>
        <v>66733864.5</v>
      </c>
      <c r="F15" s="35">
        <f>fed1!B16-fed2!K16</f>
        <v>8337299.580000001</v>
      </c>
      <c r="G15" s="366">
        <v>0</v>
      </c>
      <c r="H15" s="211"/>
      <c r="I15" s="162">
        <f t="shared" si="2"/>
        <v>54.13105399517052</v>
      </c>
      <c r="J15" s="162">
        <f>IF($B15&lt;&gt;0,(E15/$B15*100),(IF(E15&lt;&gt;0,1,0)))</f>
        <v>40.77480434674119</v>
      </c>
      <c r="K15" s="162">
        <f t="shared" si="3"/>
        <v>5.094141658088265</v>
      </c>
      <c r="L15" s="162">
        <f t="shared" si="3"/>
        <v>0</v>
      </c>
      <c r="O15" s="20"/>
      <c r="P15" s="94"/>
      <c r="Q15" s="20"/>
    </row>
    <row r="16" spans="2:17" ht="12.75">
      <c r="B16" s="56"/>
      <c r="C16" s="205"/>
      <c r="D16" s="205"/>
      <c r="E16" s="56"/>
      <c r="F16" s="35"/>
      <c r="G16" s="366"/>
      <c r="H16" s="211"/>
      <c r="I16" s="162"/>
      <c r="J16" s="162"/>
      <c r="K16" s="162"/>
      <c r="L16" s="162"/>
      <c r="O16" s="20"/>
      <c r="P16" s="43"/>
      <c r="Q16" s="3"/>
    </row>
    <row r="17" spans="1:17" ht="12.75">
      <c r="A17" s="127" t="s">
        <v>6</v>
      </c>
      <c r="B17" s="56">
        <f t="shared" si="1"/>
        <v>48983185.34</v>
      </c>
      <c r="C17" s="214">
        <v>11300000</v>
      </c>
      <c r="D17" s="56">
        <v>389121.13</v>
      </c>
      <c r="E17" s="56">
        <f>state1!C18-state1!K18+'table 6'!G18</f>
        <v>31835534.46</v>
      </c>
      <c r="F17" s="35">
        <f>fed1!B18-fed2!K18</f>
        <v>5458529.75</v>
      </c>
      <c r="G17" s="366">
        <v>0</v>
      </c>
      <c r="H17" s="211"/>
      <c r="I17" s="162">
        <f t="shared" si="2"/>
        <v>23.863538168994054</v>
      </c>
      <c r="J17" s="162">
        <f>IF($B17&lt;&gt;0,(E17/$B17*100),(IF(E17&lt;&gt;0,1,0)))</f>
        <v>64.99278117383453</v>
      </c>
      <c r="K17" s="162">
        <f aca="true" t="shared" si="4" ref="K17:L21">IF($B17&lt;&gt;0,(F17/$B17*100),(IF(F17&lt;&gt;0,1,0)))</f>
        <v>11.143680657171405</v>
      </c>
      <c r="L17" s="162">
        <f t="shared" si="4"/>
        <v>0</v>
      </c>
      <c r="O17" s="20"/>
      <c r="P17" s="94"/>
      <c r="Q17" s="20"/>
    </row>
    <row r="18" spans="1:17" ht="12.75">
      <c r="A18" s="127" t="s">
        <v>7</v>
      </c>
      <c r="B18" s="56">
        <f t="shared" si="1"/>
        <v>263957046.59</v>
      </c>
      <c r="C18" s="214">
        <v>135806760</v>
      </c>
      <c r="D18" s="56">
        <v>1895039</v>
      </c>
      <c r="E18" s="56">
        <f>state1!C19-state1!K19+'table 6'!G19</f>
        <v>112103953.75999999</v>
      </c>
      <c r="F18" s="35">
        <f>fed1!B19-fed2!K19</f>
        <v>13603655.83</v>
      </c>
      <c r="G18" s="233">
        <v>547638</v>
      </c>
      <c r="H18" s="211"/>
      <c r="I18" s="162">
        <f t="shared" si="2"/>
        <v>52.168260244967</v>
      </c>
      <c r="J18" s="162">
        <f>IF($B18&lt;&gt;0,(E18/$B18*100),(IF(E18&lt;&gt;0,1,0)))</f>
        <v>42.47052890166981</v>
      </c>
      <c r="K18" s="162">
        <f t="shared" si="4"/>
        <v>5.153738460761885</v>
      </c>
      <c r="L18" s="162">
        <f t="shared" si="4"/>
        <v>0.20747239260129954</v>
      </c>
      <c r="O18" s="20"/>
      <c r="P18" s="94"/>
      <c r="Q18" s="20"/>
    </row>
    <row r="19" spans="1:17" ht="12.75">
      <c r="A19" s="127" t="s">
        <v>8</v>
      </c>
      <c r="B19" s="56">
        <f t="shared" si="1"/>
        <v>150390771.51000002</v>
      </c>
      <c r="C19" s="214">
        <v>62229000</v>
      </c>
      <c r="D19" s="56">
        <v>1322935.11</v>
      </c>
      <c r="E19" s="56">
        <f>state1!C20-state1!K20+'table 6'!G20</f>
        <v>76847451.36000001</v>
      </c>
      <c r="F19" s="35">
        <f>fed1!B20-fed2!K20</f>
        <v>9985010.040000001</v>
      </c>
      <c r="G19" s="233">
        <v>6375</v>
      </c>
      <c r="H19" s="211"/>
      <c r="I19" s="162">
        <f>IF(B19&lt;&gt;0,((+C19+D19)/B19*100),(IF(C19&lt;&gt;0,1,0)))</f>
        <v>42.25786893165463</v>
      </c>
      <c r="J19" s="162">
        <f>IF($B19&lt;&gt;0,(E19/$B19*100),(IF(E19&lt;&gt;0,1,0)))</f>
        <v>51.09851528016808</v>
      </c>
      <c r="K19" s="162">
        <f t="shared" si="4"/>
        <v>6.63937683126791</v>
      </c>
      <c r="L19" s="162">
        <f t="shared" si="4"/>
        <v>0.004238956909384632</v>
      </c>
      <c r="O19" s="20"/>
      <c r="P19" s="94"/>
      <c r="Q19" s="20"/>
    </row>
    <row r="20" spans="1:17" ht="12.75">
      <c r="A20" s="127" t="s">
        <v>9</v>
      </c>
      <c r="B20" s="56">
        <f t="shared" si="1"/>
        <v>242976545.72</v>
      </c>
      <c r="C20" s="214">
        <v>112217000</v>
      </c>
      <c r="D20" s="56">
        <v>3956353.19</v>
      </c>
      <c r="E20" s="56">
        <f>state1!C21-state1!K21+'table 6'!G21</f>
        <v>112439643.08000001</v>
      </c>
      <c r="F20" s="35">
        <f>fed1!B21-fed2!K21</f>
        <v>14363549.45</v>
      </c>
      <c r="G20" s="366">
        <v>0</v>
      </c>
      <c r="H20" s="211"/>
      <c r="I20" s="162">
        <f t="shared" si="2"/>
        <v>47.81257913011704</v>
      </c>
      <c r="J20" s="162">
        <f>IF($B20&lt;&gt;0,(E20/$B20*100),(IF(E20&lt;&gt;0,1,0)))</f>
        <v>46.27592459462018</v>
      </c>
      <c r="K20" s="162">
        <f t="shared" si="4"/>
        <v>5.9114962752627935</v>
      </c>
      <c r="L20" s="162">
        <f t="shared" si="4"/>
        <v>0</v>
      </c>
      <c r="O20" s="20"/>
      <c r="P20" s="94"/>
      <c r="Q20" s="20"/>
    </row>
    <row r="21" spans="1:17" ht="12.75">
      <c r="A21" s="127" t="s">
        <v>10</v>
      </c>
      <c r="B21" s="56">
        <f t="shared" si="1"/>
        <v>46134045.44</v>
      </c>
      <c r="C21" s="214">
        <v>15422902</v>
      </c>
      <c r="D21" s="56">
        <v>933327.91</v>
      </c>
      <c r="E21" s="56">
        <f>state1!C22-state1!K22+'table 6'!G22</f>
        <v>24020336.309999995</v>
      </c>
      <c r="F21" s="35">
        <f>fed1!B22-fed2!K22</f>
        <v>5757479.22</v>
      </c>
      <c r="G21" s="366">
        <v>0</v>
      </c>
      <c r="H21" s="211"/>
      <c r="I21" s="162">
        <f t="shared" si="2"/>
        <v>35.45370832755654</v>
      </c>
      <c r="J21" s="162">
        <f>IF($B21&lt;&gt;0,(E21/$B21*100),(IF(E21&lt;&gt;0,1,0)))</f>
        <v>52.066399295591445</v>
      </c>
      <c r="K21" s="162">
        <f t="shared" si="4"/>
        <v>12.479892376852005</v>
      </c>
      <c r="L21" s="162">
        <f t="shared" si="4"/>
        <v>0</v>
      </c>
      <c r="O21" s="99"/>
      <c r="P21" s="94"/>
      <c r="Q21" s="20"/>
    </row>
    <row r="22" spans="2:17" ht="12.75">
      <c r="B22" s="56"/>
      <c r="C22" s="205"/>
      <c r="D22" s="205"/>
      <c r="E22" s="56"/>
      <c r="F22" s="35"/>
      <c r="G22" s="366"/>
      <c r="H22" s="211"/>
      <c r="I22" s="162"/>
      <c r="J22" s="162"/>
      <c r="K22" s="162"/>
      <c r="L22" s="162"/>
      <c r="O22" s="20"/>
      <c r="P22" s="43"/>
      <c r="Q22" s="3"/>
    </row>
    <row r="23" spans="1:17" ht="12.75">
      <c r="A23" s="127" t="s">
        <v>11</v>
      </c>
      <c r="B23" s="56">
        <f t="shared" si="1"/>
        <v>360966121.98</v>
      </c>
      <c r="C23" s="56">
        <v>188694907.86</v>
      </c>
      <c r="D23" s="56">
        <v>3964771.74</v>
      </c>
      <c r="E23" s="56">
        <f>state1!C24-state1!K24+'table 6'!G24</f>
        <v>151713843.98000002</v>
      </c>
      <c r="F23" s="35">
        <f>fed1!B24-fed2!K24</f>
        <v>16592598.399999999</v>
      </c>
      <c r="G23" s="366">
        <v>0</v>
      </c>
      <c r="H23" s="211"/>
      <c r="I23" s="162">
        <f t="shared" si="2"/>
        <v>53.373341116669856</v>
      </c>
      <c r="J23" s="162">
        <f>IF($B23&lt;&gt;0,(E23/$B23*100),(IF(E23&lt;&gt;0,1,0)))</f>
        <v>42.02993985912229</v>
      </c>
      <c r="K23" s="162">
        <f aca="true" t="shared" si="5" ref="K23:L27">IF($B23&lt;&gt;0,(F23/$B23*100),(IF(F23&lt;&gt;0,1,0)))</f>
        <v>4.596719024207856</v>
      </c>
      <c r="L23" s="162">
        <f t="shared" si="5"/>
        <v>0</v>
      </c>
      <c r="O23" s="20"/>
      <c r="P23" s="94"/>
      <c r="Q23" s="20"/>
    </row>
    <row r="24" spans="1:17" ht="12.75">
      <c r="A24" s="127" t="s">
        <v>12</v>
      </c>
      <c r="B24" s="56">
        <f t="shared" si="1"/>
        <v>45969830.27</v>
      </c>
      <c r="C24" s="56">
        <v>18830157.5</v>
      </c>
      <c r="D24" s="56">
        <v>374828.24</v>
      </c>
      <c r="E24" s="56">
        <f>state1!C25-state1!K25+'table 6'!G25</f>
        <v>21480962.85</v>
      </c>
      <c r="F24" s="35">
        <f>fed1!B25-fed2!K25</f>
        <v>5274181.94</v>
      </c>
      <c r="G24" s="233">
        <v>9699.74</v>
      </c>
      <c r="H24" s="211"/>
      <c r="I24" s="162">
        <f t="shared" si="2"/>
        <v>41.77736925979735</v>
      </c>
      <c r="J24" s="162">
        <f>IF($B24&lt;&gt;0,(E24/$B24*100),(IF(E24&lt;&gt;0,1,0)))</f>
        <v>46.72839278246915</v>
      </c>
      <c r="K24" s="162">
        <f t="shared" si="5"/>
        <v>11.4731377275542</v>
      </c>
      <c r="L24" s="162">
        <f t="shared" si="5"/>
        <v>0.021100230179292325</v>
      </c>
      <c r="O24" s="20"/>
      <c r="P24" s="94"/>
      <c r="Q24" s="20"/>
    </row>
    <row r="25" spans="1:17" ht="12.75">
      <c r="A25" s="127" t="s">
        <v>13</v>
      </c>
      <c r="B25" s="56">
        <f t="shared" si="1"/>
        <v>368762293.7</v>
      </c>
      <c r="C25" s="56">
        <v>175414800</v>
      </c>
      <c r="D25" s="56">
        <v>2378642.25</v>
      </c>
      <c r="E25" s="56">
        <f>state1!C26-state1!K26+'table 6'!G26</f>
        <v>165425254.4</v>
      </c>
      <c r="F25" s="35">
        <f>fed1!B26-fed2!K26</f>
        <v>23031331.35</v>
      </c>
      <c r="G25" s="233">
        <v>2512265.7</v>
      </c>
      <c r="H25" s="211"/>
      <c r="I25" s="162">
        <f>IF(B25&lt;&gt;0,((+C25+D25)/B25*100),(IF(C25&lt;&gt;0,1,0)))</f>
        <v>48.2135633950256</v>
      </c>
      <c r="J25" s="162">
        <f>IF($B25&lt;&gt;0,(E25/$B25*100),(IF(E25&lt;&gt;0,1,0)))</f>
        <v>44.85959037194263</v>
      </c>
      <c r="K25" s="162">
        <f t="shared" si="5"/>
        <v>6.245576552557386</v>
      </c>
      <c r="L25" s="162">
        <f t="shared" si="5"/>
        <v>0.6812696804743842</v>
      </c>
      <c r="O25" s="20"/>
      <c r="P25" s="94"/>
      <c r="Q25" s="20"/>
    </row>
    <row r="26" spans="1:17" ht="12.75">
      <c r="A26" s="127" t="s">
        <v>14</v>
      </c>
      <c r="B26" s="56">
        <f t="shared" si="1"/>
        <v>527999389.5299999</v>
      </c>
      <c r="C26" s="56">
        <v>362590015</v>
      </c>
      <c r="D26" s="56">
        <v>7602149.8999999985</v>
      </c>
      <c r="E26" s="56">
        <f>state1!C27-state1!K27+'table 6'!G27</f>
        <v>139933776.67</v>
      </c>
      <c r="F26" s="35">
        <f>fed1!B27-fed2!K27</f>
        <v>17491256.96</v>
      </c>
      <c r="G26" s="233">
        <v>382191</v>
      </c>
      <c r="H26" s="211"/>
      <c r="I26" s="162">
        <f t="shared" si="2"/>
        <v>70.11223350646817</v>
      </c>
      <c r="J26" s="162">
        <f>IF($B26&lt;&gt;0,(E26/$B26*100),(IF(E26&lt;&gt;0,1,0)))</f>
        <v>26.502639859974536</v>
      </c>
      <c r="K26" s="162">
        <f t="shared" si="5"/>
        <v>3.3127418907756487</v>
      </c>
      <c r="L26" s="162">
        <f t="shared" si="5"/>
        <v>0.07238474278165517</v>
      </c>
      <c r="O26" s="20"/>
      <c r="P26" s="94"/>
      <c r="Q26" s="20"/>
    </row>
    <row r="27" spans="1:17" ht="12.75">
      <c r="A27" s="127" t="s">
        <v>15</v>
      </c>
      <c r="B27" s="56">
        <f t="shared" si="1"/>
        <v>26097209.39</v>
      </c>
      <c r="C27" s="56">
        <v>14275613</v>
      </c>
      <c r="D27" s="56">
        <v>289282.1</v>
      </c>
      <c r="E27" s="56">
        <f>state1!C28-state1!K28+'table 6'!G28</f>
        <v>8324119.780000001</v>
      </c>
      <c r="F27" s="35">
        <f>fed1!B28-fed2!K28</f>
        <v>3208194.51</v>
      </c>
      <c r="G27" s="366">
        <v>0</v>
      </c>
      <c r="H27" s="211"/>
      <c r="I27" s="162">
        <f t="shared" si="2"/>
        <v>55.81016300379233</v>
      </c>
      <c r="J27" s="162">
        <f>IF($B27&lt;&gt;0,(E27/$B27*100),(IF(E27&lt;&gt;0,1,0)))</f>
        <v>31.896589614633893</v>
      </c>
      <c r="K27" s="162">
        <f t="shared" si="5"/>
        <v>12.293247381573773</v>
      </c>
      <c r="L27" s="162">
        <f t="shared" si="5"/>
        <v>0</v>
      </c>
      <c r="O27" s="20"/>
      <c r="P27" s="94"/>
      <c r="Q27" s="20"/>
    </row>
    <row r="28" spans="2:17" ht="12.75">
      <c r="B28" s="56"/>
      <c r="C28" s="205"/>
      <c r="D28" s="205"/>
      <c r="E28" s="56"/>
      <c r="F28" s="35"/>
      <c r="G28" s="366"/>
      <c r="H28" s="211"/>
      <c r="I28" s="162"/>
      <c r="J28" s="162"/>
      <c r="K28" s="162"/>
      <c r="L28" s="162"/>
      <c r="O28" s="20"/>
      <c r="P28" s="43"/>
      <c r="Q28" s="3"/>
    </row>
    <row r="29" spans="1:17" ht="12.75">
      <c r="A29" s="127" t="s">
        <v>16</v>
      </c>
      <c r="B29" s="56">
        <f t="shared" si="1"/>
        <v>1693433612.85</v>
      </c>
      <c r="C29" s="56">
        <v>1283070184.52</v>
      </c>
      <c r="D29" s="56">
        <v>14872874.56</v>
      </c>
      <c r="E29" s="56">
        <f>state1!C30-state1!K30+'table 6'!G30</f>
        <v>305548391.46</v>
      </c>
      <c r="F29" s="35">
        <f>fed1!B30-fed2!K30</f>
        <v>89107499.31</v>
      </c>
      <c r="G29" s="233">
        <v>834663</v>
      </c>
      <c r="H29" s="211"/>
      <c r="I29" s="162">
        <f t="shared" si="2"/>
        <v>76.64564168509678</v>
      </c>
      <c r="J29" s="162">
        <f>IF($B29&lt;&gt;0,(E29/$B29*100),(IF(E29&lt;&gt;0,1,0)))</f>
        <v>18.043127828658772</v>
      </c>
      <c r="K29" s="162">
        <f aca="true" t="shared" si="6" ref="K29:L33">IF($B29&lt;&gt;0,(F29/$B29*100),(IF(F29&lt;&gt;0,1,0)))</f>
        <v>5.261942283053815</v>
      </c>
      <c r="L29" s="162">
        <f t="shared" si="6"/>
        <v>0.04928820319063386</v>
      </c>
      <c r="O29" s="20"/>
      <c r="P29" s="94"/>
      <c r="Q29" s="20"/>
    </row>
    <row r="30" spans="1:17" ht="12.75">
      <c r="A30" s="127" t="s">
        <v>17</v>
      </c>
      <c r="B30" s="56">
        <f t="shared" si="1"/>
        <v>1362401932.36</v>
      </c>
      <c r="C30" s="56">
        <v>522227299.25</v>
      </c>
      <c r="D30" s="56">
        <v>18979807.78</v>
      </c>
      <c r="E30" s="56">
        <f>state1!C31-state1!K31+'table 6'!G31</f>
        <v>715867996</v>
      </c>
      <c r="F30" s="35">
        <f>fed1!B31-fed2!K31</f>
        <v>105326829.33000001</v>
      </c>
      <c r="G30" s="366">
        <v>0</v>
      </c>
      <c r="H30" s="211"/>
      <c r="I30" s="162">
        <f t="shared" si="2"/>
        <v>39.72448175352351</v>
      </c>
      <c r="J30" s="162">
        <f>IF($B30&lt;&gt;0,(E30/$B30*100),(IF(E30&lt;&gt;0,1,0)))</f>
        <v>52.54455230843285</v>
      </c>
      <c r="K30" s="162">
        <f t="shared" si="6"/>
        <v>7.730965938043645</v>
      </c>
      <c r="L30" s="162">
        <f t="shared" si="6"/>
        <v>0</v>
      </c>
      <c r="O30" s="20"/>
      <c r="P30" s="94"/>
      <c r="Q30" s="20"/>
    </row>
    <row r="31" spans="1:17" ht="12.75">
      <c r="A31" s="127" t="s">
        <v>18</v>
      </c>
      <c r="B31" s="56">
        <f t="shared" si="1"/>
        <v>68228846.30000001</v>
      </c>
      <c r="C31" s="56">
        <v>38174413</v>
      </c>
      <c r="D31" s="214">
        <v>619586.1</v>
      </c>
      <c r="E31" s="56">
        <f>state1!C32-state1!K32+'table 6'!G32</f>
        <v>23905589.16</v>
      </c>
      <c r="F31" s="35">
        <f>fed1!B32-fed2!K32</f>
        <v>5529258.04</v>
      </c>
      <c r="G31" s="366">
        <v>0</v>
      </c>
      <c r="H31" s="211"/>
      <c r="I31" s="162">
        <f>IF(B31&lt;&gt;0,((+C31+D31)/B31*100),(IF(C31&lt;&gt;0,1,0)))</f>
        <v>56.85864733726268</v>
      </c>
      <c r="J31" s="162">
        <f>IF($B31&lt;&gt;0,(E31/$B31*100),(IF(E31&lt;&gt;0,1,0)))</f>
        <v>35.037363895745656</v>
      </c>
      <c r="K31" s="162">
        <f t="shared" si="6"/>
        <v>8.103988766991652</v>
      </c>
      <c r="L31" s="162">
        <f t="shared" si="6"/>
        <v>0</v>
      </c>
      <c r="O31" s="20"/>
      <c r="P31" s="94"/>
      <c r="Q31" s="20"/>
    </row>
    <row r="32" spans="1:17" ht="12.75">
      <c r="A32" s="127" t="s">
        <v>19</v>
      </c>
      <c r="B32" s="56">
        <f t="shared" si="1"/>
        <v>151246548.24999997</v>
      </c>
      <c r="C32" s="56">
        <v>62634224</v>
      </c>
      <c r="D32" s="214">
        <v>1138493.86</v>
      </c>
      <c r="E32" s="56">
        <f>state1!C33-state1!K33+'table 6'!G33</f>
        <v>70930551.16999999</v>
      </c>
      <c r="F32" s="35">
        <f>fed1!B33-fed2!K33</f>
        <v>13005687.2</v>
      </c>
      <c r="G32" s="233">
        <v>3537592.02</v>
      </c>
      <c r="H32" s="211"/>
      <c r="I32" s="162">
        <f t="shared" si="2"/>
        <v>42.16474266545783</v>
      </c>
      <c r="J32" s="162">
        <f>IF($B32&lt;&gt;0,(E32/$B32*100),(IF(E32&lt;&gt;0,1,0)))</f>
        <v>46.89730244471877</v>
      </c>
      <c r="K32" s="162">
        <f t="shared" si="6"/>
        <v>8.598997696464787</v>
      </c>
      <c r="L32" s="162">
        <f t="shared" si="6"/>
        <v>2.3389571933586266</v>
      </c>
      <c r="O32" s="20"/>
      <c r="P32" s="94"/>
      <c r="Q32" s="20"/>
    </row>
    <row r="33" spans="1:17" ht="12.75">
      <c r="A33" s="127" t="s">
        <v>20</v>
      </c>
      <c r="B33" s="56">
        <f t="shared" si="1"/>
        <v>31891601.64</v>
      </c>
      <c r="C33" s="56">
        <v>8547712</v>
      </c>
      <c r="D33" s="56">
        <v>272045.1</v>
      </c>
      <c r="E33" s="56">
        <f>state1!C34-state1!K34+'table 6'!G34</f>
        <v>18863481.189999998</v>
      </c>
      <c r="F33" s="35">
        <f>fed1!B34-fed2!K34</f>
        <v>4208363.350000001</v>
      </c>
      <c r="G33" s="366">
        <v>0</v>
      </c>
      <c r="H33" s="211"/>
      <c r="I33" s="162">
        <f t="shared" si="2"/>
        <v>27.655422263075774</v>
      </c>
      <c r="J33" s="162">
        <f>IF($B33&lt;&gt;0,(E33/$B33*100),(IF(E33&lt;&gt;0,1,0)))</f>
        <v>59.148742051074976</v>
      </c>
      <c r="K33" s="162">
        <f t="shared" si="6"/>
        <v>13.195835685849236</v>
      </c>
      <c r="L33" s="162">
        <f t="shared" si="6"/>
        <v>0</v>
      </c>
      <c r="O33" s="20"/>
      <c r="P33" s="94"/>
      <c r="Q33" s="20"/>
    </row>
    <row r="34" spans="2:17" ht="12.75">
      <c r="B34" s="56"/>
      <c r="C34" s="367"/>
      <c r="D34" s="205"/>
      <c r="E34" s="56"/>
      <c r="F34" s="35"/>
      <c r="G34" s="366"/>
      <c r="H34" s="211"/>
      <c r="I34" s="162"/>
      <c r="J34" s="162"/>
      <c r="K34" s="162"/>
      <c r="L34" s="162"/>
      <c r="O34" s="20"/>
      <c r="P34" s="43"/>
      <c r="Q34" s="3"/>
    </row>
    <row r="35" spans="1:17" ht="12.75">
      <c r="A35" s="127" t="s">
        <v>21</v>
      </c>
      <c r="B35" s="56">
        <f t="shared" si="1"/>
        <v>41722315.620000005</v>
      </c>
      <c r="C35" s="56">
        <v>27897682</v>
      </c>
      <c r="D35" s="56">
        <v>737769.87</v>
      </c>
      <c r="E35" s="56">
        <f>state1!C36-state1!K36+'table 6'!G36</f>
        <v>9857279.180000002</v>
      </c>
      <c r="F35" s="35">
        <f>fed1!B36-fed2!K36</f>
        <v>3204280.57</v>
      </c>
      <c r="G35" s="233">
        <v>25304</v>
      </c>
      <c r="H35" s="211"/>
      <c r="I35" s="162">
        <f t="shared" si="2"/>
        <v>68.63341941709803</v>
      </c>
      <c r="J35" s="162">
        <f>IF($B35&lt;&gt;0,(E35/$B35*100),(IF(E35&lt;&gt;0,1,0)))</f>
        <v>23.625915852270715</v>
      </c>
      <c r="K35" s="162">
        <f aca="true" t="shared" si="7" ref="K35:L38">IF($B35&lt;&gt;0,(F35/$B35*100),(IF(F35&lt;&gt;0,1,0)))</f>
        <v>7.680016131376936</v>
      </c>
      <c r="L35" s="162">
        <f t="shared" si="7"/>
        <v>0.06064859925432873</v>
      </c>
      <c r="O35" s="20"/>
      <c r="P35" s="94"/>
      <c r="Q35" s="20"/>
    </row>
    <row r="36" spans="1:17" ht="12.75">
      <c r="A36" s="127" t="s">
        <v>22</v>
      </c>
      <c r="B36" s="56">
        <f t="shared" si="1"/>
        <v>194227501.20999998</v>
      </c>
      <c r="C36" s="56">
        <v>81977718.98</v>
      </c>
      <c r="D36" s="56">
        <v>1181576.89</v>
      </c>
      <c r="E36" s="56">
        <f>state1!C37-state1!K37+'table 6'!G37</f>
        <v>95210522.75999999</v>
      </c>
      <c r="F36" s="35">
        <f>fed1!B37-fed2!K37</f>
        <v>15466229.13</v>
      </c>
      <c r="G36" s="233">
        <v>391453.45</v>
      </c>
      <c r="H36" s="211"/>
      <c r="I36" s="162">
        <f t="shared" si="2"/>
        <v>42.81540737121859</v>
      </c>
      <c r="J36" s="162">
        <f>IF($B36&lt;&gt;0,(E36/$B36*100),(IF(E36&lt;&gt;0,1,0)))</f>
        <v>49.02010383022834</v>
      </c>
      <c r="K36" s="162">
        <f t="shared" si="7"/>
        <v>7.962945017388562</v>
      </c>
      <c r="L36" s="162">
        <f t="shared" si="7"/>
        <v>0.20154378116452112</v>
      </c>
      <c r="O36" s="20"/>
      <c r="P36" s="94"/>
      <c r="Q36" s="20"/>
    </row>
    <row r="37" spans="1:17" ht="12.75">
      <c r="A37" s="127" t="s">
        <v>23</v>
      </c>
      <c r="B37" s="56">
        <f t="shared" si="1"/>
        <v>139878866.53</v>
      </c>
      <c r="C37" s="56">
        <v>46925458</v>
      </c>
      <c r="D37" s="56">
        <v>1865443.75</v>
      </c>
      <c r="E37" s="56">
        <f>state1!C38-state1!K38+'table 6'!G38</f>
        <v>76571134.86999999</v>
      </c>
      <c r="F37" s="35">
        <f>fed1!B38-fed2!K38</f>
        <v>13980766.19</v>
      </c>
      <c r="G37" s="233">
        <v>536063.72</v>
      </c>
      <c r="H37" s="211"/>
      <c r="I37" s="162">
        <f t="shared" si="2"/>
        <v>34.880824359222096</v>
      </c>
      <c r="J37" s="162">
        <f>IF($B37&lt;&gt;0,(E37/$B37*100),(IF(E37&lt;&gt;0,1,0)))</f>
        <v>54.741031843847324</v>
      </c>
      <c r="K37" s="162">
        <f t="shared" si="7"/>
        <v>9.99490955054424</v>
      </c>
      <c r="L37" s="162">
        <f t="shared" si="7"/>
        <v>0.38323424638634007</v>
      </c>
      <c r="O37" s="20"/>
      <c r="P37" s="94"/>
      <c r="Q37" s="20"/>
    </row>
    <row r="38" spans="1:17" ht="12.75">
      <c r="A38" s="166" t="s">
        <v>24</v>
      </c>
      <c r="B38" s="235">
        <f t="shared" si="1"/>
        <v>78311379.84</v>
      </c>
      <c r="C38" s="235">
        <v>55066516</v>
      </c>
      <c r="D38" s="235">
        <v>927228.35</v>
      </c>
      <c r="E38" s="235">
        <f>state1!C39-state1!K39+'table 6'!G39</f>
        <v>14976147.700000001</v>
      </c>
      <c r="F38" s="235">
        <f>fed1!B39-fed2!K39</f>
        <v>7341487.790000001</v>
      </c>
      <c r="G38" s="368">
        <v>0</v>
      </c>
      <c r="H38" s="212"/>
      <c r="I38" s="278">
        <f t="shared" si="2"/>
        <v>71.50141456376106</v>
      </c>
      <c r="J38" s="278">
        <f>IF($B38&lt;&gt;0,(E38/$B38*100),(IF(E38&lt;&gt;0,1,0)))</f>
        <v>19.123846024164244</v>
      </c>
      <c r="K38" s="278">
        <f t="shared" si="7"/>
        <v>9.3747394120747</v>
      </c>
      <c r="L38" s="278">
        <f t="shared" si="7"/>
        <v>0</v>
      </c>
      <c r="O38" s="20"/>
      <c r="P38" s="94"/>
      <c r="Q38" s="20"/>
    </row>
    <row r="39" spans="1:17" ht="12.75">
      <c r="A39" s="131"/>
      <c r="B39" s="147"/>
      <c r="C39" s="147"/>
      <c r="D39" s="147"/>
      <c r="E39" s="147"/>
      <c r="F39" s="147"/>
      <c r="G39" s="147"/>
      <c r="H39" s="165"/>
      <c r="I39" s="163"/>
      <c r="J39" s="163"/>
      <c r="K39" s="163"/>
      <c r="L39" s="163"/>
      <c r="O39" s="20"/>
      <c r="P39" s="71"/>
      <c r="Q39" s="20"/>
    </row>
    <row r="40" spans="1:11" ht="12.75">
      <c r="A40" s="131" t="s">
        <v>336</v>
      </c>
      <c r="D40" s="150"/>
      <c r="I40" s="151"/>
      <c r="J40" s="151"/>
      <c r="K40" s="151"/>
    </row>
    <row r="41" spans="1:4" ht="12.75">
      <c r="A41" s="62" t="s">
        <v>335</v>
      </c>
      <c r="D41" s="150"/>
    </row>
    <row r="42" spans="1:4" ht="12.75">
      <c r="A42" s="365" t="s">
        <v>324</v>
      </c>
      <c r="D42" s="150"/>
    </row>
    <row r="43" spans="1:4" ht="12.75">
      <c r="A43" s="152"/>
      <c r="D43" s="150"/>
    </row>
    <row r="44" spans="3:4" ht="12.75">
      <c r="C44" s="231"/>
      <c r="D44" s="282"/>
    </row>
    <row r="45" spans="3:4" ht="12.75">
      <c r="C45" s="231"/>
      <c r="D45" s="282"/>
    </row>
    <row r="46" spans="3:4" ht="12.75">
      <c r="C46" s="231"/>
      <c r="D46" s="282"/>
    </row>
    <row r="47" spans="3:4" ht="12.75">
      <c r="C47" s="231"/>
      <c r="D47" s="282"/>
    </row>
    <row r="48" spans="3:4" ht="12.75">
      <c r="C48" s="231"/>
      <c r="D48" s="283"/>
    </row>
    <row r="49" spans="3:4" ht="12.75">
      <c r="C49" s="231"/>
      <c r="D49" s="282"/>
    </row>
    <row r="50" spans="3:4" ht="12.75">
      <c r="C50" s="231"/>
      <c r="D50" s="283"/>
    </row>
    <row r="51" spans="3:4" ht="12.75">
      <c r="C51" s="231"/>
      <c r="D51" s="282"/>
    </row>
    <row r="52" spans="3:4" ht="12.75">
      <c r="C52" s="231"/>
      <c r="D52" s="282"/>
    </row>
    <row r="53" spans="3:4" ht="12.75">
      <c r="C53" s="231"/>
      <c r="D53" s="282"/>
    </row>
    <row r="54" spans="3:4" ht="12.75">
      <c r="C54" s="231"/>
      <c r="D54" s="282"/>
    </row>
    <row r="55" spans="3:4" ht="12.75">
      <c r="C55" s="231"/>
      <c r="D55" s="282"/>
    </row>
    <row r="56" spans="3:4" ht="12.75">
      <c r="C56" s="231"/>
      <c r="D56" s="283"/>
    </row>
    <row r="57" spans="3:4" ht="12.75">
      <c r="C57" s="231"/>
      <c r="D57" s="282"/>
    </row>
    <row r="58" spans="3:4" ht="12.75">
      <c r="C58" s="231"/>
      <c r="D58" s="283"/>
    </row>
    <row r="59" spans="3:4" ht="12.75">
      <c r="C59" s="231"/>
      <c r="D59" s="282"/>
    </row>
    <row r="60" spans="3:4" ht="12.75">
      <c r="C60" s="231"/>
      <c r="D60" s="282"/>
    </row>
    <row r="61" spans="3:4" ht="12.75">
      <c r="C61" s="231"/>
      <c r="D61" s="282"/>
    </row>
    <row r="62" spans="3:4" ht="12.75">
      <c r="C62" s="231"/>
      <c r="D62" s="282"/>
    </row>
    <row r="63" spans="3:4" ht="12.75">
      <c r="C63" s="231"/>
      <c r="D63" s="282"/>
    </row>
    <row r="64" spans="3:4" ht="12.75">
      <c r="C64" s="231"/>
      <c r="D64" s="282"/>
    </row>
    <row r="65" spans="3:4" ht="12.75">
      <c r="C65" s="231"/>
      <c r="D65" s="282"/>
    </row>
    <row r="66" spans="3:4" ht="12.75">
      <c r="C66" s="231"/>
      <c r="D66" s="282"/>
    </row>
    <row r="67" spans="3:4" ht="12.75">
      <c r="C67" s="231"/>
      <c r="D67" s="282"/>
    </row>
    <row r="68" spans="3:4" ht="12.75">
      <c r="C68" s="231"/>
      <c r="D68" s="282"/>
    </row>
    <row r="69" spans="3:4" ht="12.75">
      <c r="C69" s="231"/>
      <c r="D69" s="282"/>
    </row>
    <row r="70" spans="3:4" ht="12.75">
      <c r="C70" s="231"/>
      <c r="D70" s="282"/>
    </row>
    <row r="71" spans="3:4" ht="12.75">
      <c r="C71" s="231"/>
      <c r="D71" s="282"/>
    </row>
    <row r="72" spans="3:4" ht="12.75">
      <c r="C72" s="231"/>
      <c r="D72" s="282"/>
    </row>
    <row r="73" spans="3:4" ht="12.75">
      <c r="C73" s="231"/>
      <c r="D73" s="282"/>
    </row>
    <row r="74" spans="3:4" ht="12.75">
      <c r="C74" s="231"/>
      <c r="D74" s="282"/>
    </row>
    <row r="75" spans="3:4" ht="12.75">
      <c r="C75" s="231"/>
      <c r="D75" s="282"/>
    </row>
    <row r="76" spans="3:4" ht="12.75">
      <c r="C76" s="231"/>
      <c r="D76" s="282"/>
    </row>
    <row r="77" spans="3:4" ht="12.75">
      <c r="C77" s="231"/>
      <c r="D77" s="282"/>
    </row>
    <row r="78" spans="3:4" ht="12.75">
      <c r="C78" s="231"/>
      <c r="D78" s="282"/>
    </row>
    <row r="79" spans="3:4" ht="12.75">
      <c r="C79" s="231"/>
      <c r="D79" s="282"/>
    </row>
    <row r="80" spans="3:4" ht="12.75">
      <c r="C80" s="231"/>
      <c r="D80" s="282"/>
    </row>
    <row r="81" spans="3:4" ht="12.75">
      <c r="C81" s="231"/>
      <c r="D81" s="282"/>
    </row>
    <row r="82" spans="3:4" ht="12.75">
      <c r="C82" s="231"/>
      <c r="D82" s="282"/>
    </row>
    <row r="83" spans="3:4" ht="12.75">
      <c r="C83" s="231"/>
      <c r="D83" s="282"/>
    </row>
    <row r="84" spans="3:4" ht="12.75">
      <c r="C84" s="231"/>
      <c r="D84" s="282"/>
    </row>
    <row r="85" spans="3:4" ht="12.75">
      <c r="C85" s="231"/>
      <c r="D85" s="282"/>
    </row>
    <row r="86" spans="3:4" ht="12.75">
      <c r="C86" s="231"/>
      <c r="D86" s="282"/>
    </row>
    <row r="87" spans="3:4" ht="12.75">
      <c r="C87" s="231"/>
      <c r="D87" s="282"/>
    </row>
    <row r="88" spans="3:4" ht="12.75">
      <c r="C88" s="231"/>
      <c r="D88" s="282"/>
    </row>
    <row r="89" spans="3:4" ht="12.75">
      <c r="C89" s="231"/>
      <c r="D89" s="282"/>
    </row>
    <row r="90" spans="3:4" ht="12.75">
      <c r="C90" s="231"/>
      <c r="D90" s="282"/>
    </row>
    <row r="91" spans="3:4" ht="12.75">
      <c r="C91" s="231"/>
      <c r="D91" s="282"/>
    </row>
    <row r="92" spans="3:4" ht="12.75">
      <c r="C92" s="231"/>
      <c r="D92" s="282"/>
    </row>
    <row r="93" spans="3:4" ht="12.75">
      <c r="C93" s="231"/>
      <c r="D93" s="282"/>
    </row>
    <row r="94" spans="3:4" ht="12.75">
      <c r="C94" s="231"/>
      <c r="D94" s="282"/>
    </row>
    <row r="95" spans="3:4" ht="12.75">
      <c r="C95" s="231"/>
      <c r="D95" s="282"/>
    </row>
    <row r="96" spans="3:4" ht="12.75">
      <c r="C96" s="231"/>
      <c r="D96" s="282"/>
    </row>
    <row r="97" spans="3:4" ht="12.75">
      <c r="C97" s="231"/>
      <c r="D97" s="282"/>
    </row>
    <row r="98" spans="3:4" ht="12.75">
      <c r="C98" s="231"/>
      <c r="D98" s="282"/>
    </row>
    <row r="99" spans="3:4" ht="12.75">
      <c r="C99" s="231"/>
      <c r="D99" s="282"/>
    </row>
    <row r="100" spans="3:4" ht="12.75">
      <c r="C100" s="231"/>
      <c r="D100" s="282"/>
    </row>
    <row r="101" spans="3:4" ht="12.75">
      <c r="C101" s="231"/>
      <c r="D101" s="282"/>
    </row>
    <row r="102" spans="3:4" ht="12.75">
      <c r="C102" s="231"/>
      <c r="D102" s="282"/>
    </row>
    <row r="103" spans="3:4" ht="12.75">
      <c r="C103" s="231"/>
      <c r="D103" s="282"/>
    </row>
    <row r="104" spans="3:4" ht="12.75">
      <c r="C104" s="275"/>
      <c r="D104" s="275"/>
    </row>
    <row r="105" spans="3:4" ht="12.75">
      <c r="C105" s="275"/>
      <c r="D105"/>
    </row>
    <row r="106" spans="3:4" ht="12.75">
      <c r="C106" s="275"/>
      <c r="D106" s="275"/>
    </row>
  </sheetData>
  <sheetProtection password="CAF5" sheet="1" objects="1" scenarios="1"/>
  <mergeCells count="6">
    <mergeCell ref="A1:L1"/>
    <mergeCell ref="C7:D7"/>
    <mergeCell ref="C6:F6"/>
    <mergeCell ref="I6:L6"/>
    <mergeCell ref="A3:L3"/>
    <mergeCell ref="A4:L4"/>
  </mergeCells>
  <printOptions horizontalCentered="1"/>
  <pageMargins left="0.7" right="0.72" top="0.83" bottom="1" header="0.67" footer="0.5"/>
  <pageSetup fitToHeight="1" fitToWidth="1" horizontalDpi="600" verticalDpi="600" orientation="landscape" scale="87" r:id="rId1"/>
  <headerFooter alignWithMargins="0">
    <oddFooter>&amp;L&amp;"Arial,Italic"&amp;9MSDE-DBS  10 / 2007&amp;C- 3 -
&amp;R&amp;"Arial,Italic"&amp;9Selected Financial Data-Part 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workbookViewId="0" topLeftCell="A7">
      <selection activeCell="F9" sqref="F9"/>
    </sheetView>
  </sheetViews>
  <sheetFormatPr defaultColWidth="9.140625" defaultRowHeight="12.75"/>
  <cols>
    <col min="1" max="1" width="14.140625" style="0" customWidth="1"/>
    <col min="2" max="2" width="14.8515625" style="0" customWidth="1"/>
    <col min="3" max="3" width="16.421875" style="0" customWidth="1"/>
    <col min="4" max="4" width="15.00390625" style="0" bestFit="1" customWidth="1"/>
    <col min="5" max="5" width="13.421875" style="0" bestFit="1" customWidth="1"/>
    <col min="6" max="6" width="11.28125" style="0" customWidth="1"/>
    <col min="7" max="7" width="13.28125" style="0" customWidth="1"/>
    <col min="11" max="11" width="11.8515625" style="0" customWidth="1"/>
  </cols>
  <sheetData>
    <row r="1" spans="1:11" ht="12.75">
      <c r="A1" s="457" t="s">
        <v>109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3" spans="1:11" ht="12.75">
      <c r="A3" s="457" t="s">
        <v>259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0" ht="12.75">
      <c r="A4" s="457"/>
      <c r="B4" s="457"/>
      <c r="C4" s="457"/>
      <c r="D4" s="457"/>
      <c r="E4" s="457"/>
      <c r="F4" s="457"/>
      <c r="G4" s="457"/>
      <c r="H4" s="457"/>
      <c r="I4" s="457"/>
      <c r="J4" s="457"/>
    </row>
    <row r="5" spans="3:11" ht="13.5" thickBot="1">
      <c r="C5" s="13"/>
      <c r="D5" s="13"/>
      <c r="E5" s="13"/>
      <c r="F5" s="13"/>
      <c r="G5" s="13"/>
      <c r="H5" s="372"/>
      <c r="I5" s="372"/>
      <c r="J5" s="372"/>
      <c r="K5" s="372"/>
    </row>
    <row r="6" spans="1:58" ht="15" customHeight="1" thickTop="1">
      <c r="A6" s="6" t="s">
        <v>99</v>
      </c>
      <c r="B6" s="17" t="s">
        <v>52</v>
      </c>
      <c r="C6" s="459" t="s">
        <v>102</v>
      </c>
      <c r="D6" s="459"/>
      <c r="E6" s="459"/>
      <c r="F6" s="459"/>
      <c r="H6" s="459" t="s">
        <v>104</v>
      </c>
      <c r="I6" s="459"/>
      <c r="J6" s="459"/>
      <c r="K6" s="45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11" ht="12.75">
      <c r="A7" s="3" t="s">
        <v>41</v>
      </c>
      <c r="B7" s="9" t="s">
        <v>105</v>
      </c>
      <c r="C7" s="458" t="s">
        <v>99</v>
      </c>
      <c r="D7" s="458"/>
      <c r="E7" s="378"/>
      <c r="F7" s="377"/>
      <c r="G7" s="373" t="s">
        <v>101</v>
      </c>
      <c r="H7" s="4"/>
      <c r="I7" s="4"/>
      <c r="J7" s="4"/>
      <c r="K7" s="4" t="s">
        <v>101</v>
      </c>
    </row>
    <row r="8" spans="1:11" ht="13.5" thickBot="1">
      <c r="A8" s="7" t="s">
        <v>143</v>
      </c>
      <c r="B8" s="374" t="s">
        <v>106</v>
      </c>
      <c r="C8" s="364" t="s">
        <v>100</v>
      </c>
      <c r="D8" s="364" t="s">
        <v>123</v>
      </c>
      <c r="E8" s="379" t="s">
        <v>53</v>
      </c>
      <c r="F8" s="379" t="s">
        <v>65</v>
      </c>
      <c r="G8" s="375" t="s">
        <v>340</v>
      </c>
      <c r="H8" s="374" t="s">
        <v>99</v>
      </c>
      <c r="I8" s="374" t="s">
        <v>53</v>
      </c>
      <c r="J8" s="376" t="s">
        <v>65</v>
      </c>
      <c r="K8" s="364" t="s">
        <v>103</v>
      </c>
    </row>
    <row r="9" spans="1:12" ht="12.75">
      <c r="A9" s="3" t="s">
        <v>0</v>
      </c>
      <c r="B9" s="75">
        <f aca="true" t="shared" si="0" ref="B9:G9">SUM(B11:B38)</f>
        <v>937312360.3399999</v>
      </c>
      <c r="C9" s="75">
        <f t="shared" si="0"/>
        <v>584823164.8000001</v>
      </c>
      <c r="D9" s="75">
        <f t="shared" si="0"/>
        <v>69962738.41</v>
      </c>
      <c r="E9" s="75">
        <f t="shared" si="0"/>
        <v>203433301.24999997</v>
      </c>
      <c r="F9" s="291">
        <f t="shared" si="0"/>
        <v>0</v>
      </c>
      <c r="G9" s="75">
        <f t="shared" si="0"/>
        <v>79093155.88</v>
      </c>
      <c r="H9" s="276">
        <f>IF(B9&lt;&gt;0,((+C9+D9)/B9*100),(IF(C9&lt;&gt;0,1,0)))</f>
        <v>69.85781164482708</v>
      </c>
      <c r="I9" s="276">
        <f>IF($B9&lt;&gt;0,(E9/$B9*100),(IF(E9&lt;&gt;0,1,0)))</f>
        <v>21.70389614580637</v>
      </c>
      <c r="J9" s="276">
        <f>IF($B9&lt;&gt;0,(F9/$B9*100),(IF(F9&lt;&gt;0,1,0)))</f>
        <v>0</v>
      </c>
      <c r="K9" s="276">
        <f>IF($B9&lt;&gt;0,(G9/$B9*100),(IF(G9&lt;&gt;0,1,0)))</f>
        <v>8.438292209366557</v>
      </c>
      <c r="L9" s="274"/>
    </row>
    <row r="10" spans="1:11" ht="12.75">
      <c r="A10" s="3"/>
      <c r="B10" s="76"/>
      <c r="C10" s="76"/>
      <c r="D10" s="77"/>
      <c r="E10" s="73"/>
      <c r="F10" s="74"/>
      <c r="G10" s="74"/>
      <c r="H10" s="16"/>
      <c r="I10" s="16"/>
      <c r="J10" s="16"/>
      <c r="K10" s="16"/>
    </row>
    <row r="11" spans="1:11" ht="12.75">
      <c r="A11" t="s">
        <v>1</v>
      </c>
      <c r="B11" s="77">
        <f aca="true" t="shared" si="1" ref="B11:B38">SUM(C11:G11)</f>
        <v>13146591.3</v>
      </c>
      <c r="C11" s="77">
        <v>332469.67</v>
      </c>
      <c r="D11" s="77">
        <v>0</v>
      </c>
      <c r="E11" s="73">
        <v>12491319</v>
      </c>
      <c r="F11" s="369">
        <v>0</v>
      </c>
      <c r="G11" s="77">
        <f>62114.73+260687.9</f>
        <v>322802.63</v>
      </c>
      <c r="H11" s="276">
        <f aca="true" t="shared" si="2" ref="H11:H38">IF(B11&lt;&gt;0,((+C11+D11)/B11*100),(IF(C11&lt;&gt;0,1,0)))</f>
        <v>2.528942007956085</v>
      </c>
      <c r="I11" s="276">
        <f>IF($B11&lt;&gt;0,(E11/$B11*100),(IF(E11&lt;&gt;0,1,0)))</f>
        <v>95.01564865715419</v>
      </c>
      <c r="J11" s="276">
        <f aca="true" t="shared" si="3" ref="J11:K15">IF($B11&lt;&gt;0,(F11/$B11*100),(IF(F11&lt;&gt;0,1,0)))</f>
        <v>0</v>
      </c>
      <c r="K11" s="276">
        <f t="shared" si="3"/>
        <v>2.4554093348897217</v>
      </c>
    </row>
    <row r="12" spans="1:11" ht="12.75">
      <c r="A12" t="s">
        <v>2</v>
      </c>
      <c r="B12" s="77">
        <f t="shared" si="1"/>
        <v>78689315</v>
      </c>
      <c r="C12" s="77">
        <v>37949814</v>
      </c>
      <c r="D12" s="77">
        <f>1119405+66101</f>
        <v>1185506</v>
      </c>
      <c r="E12" s="73">
        <v>10562645</v>
      </c>
      <c r="F12" s="369">
        <v>0</v>
      </c>
      <c r="G12" s="77">
        <v>28991350</v>
      </c>
      <c r="H12" s="276">
        <f t="shared" si="2"/>
        <v>49.733969599303286</v>
      </c>
      <c r="I12" s="276">
        <f>IF($B12&lt;&gt;0,(E12/$B12*100),(IF(E12&lt;&gt;0,1,0)))</f>
        <v>13.423226520652772</v>
      </c>
      <c r="J12" s="276">
        <f t="shared" si="3"/>
        <v>0</v>
      </c>
      <c r="K12" s="276">
        <f t="shared" si="3"/>
        <v>36.842803880043945</v>
      </c>
    </row>
    <row r="13" spans="1:11" ht="12.75">
      <c r="A13" t="s">
        <v>3</v>
      </c>
      <c r="B13" s="77">
        <f t="shared" si="1"/>
        <v>30412182.1</v>
      </c>
      <c r="C13" s="77">
        <v>2383633.84</v>
      </c>
      <c r="D13" s="77">
        <f>8252336.03+1711557</f>
        <v>9963893.030000001</v>
      </c>
      <c r="E13" s="73">
        <v>18064655.23</v>
      </c>
      <c r="F13" s="369">
        <v>0</v>
      </c>
      <c r="G13" s="229">
        <v>0</v>
      </c>
      <c r="H13" s="276">
        <f>IF(B13&lt;&gt;0,((+C13+D13)/B13*100),(IF(C13&lt;&gt;0,1,0)))</f>
        <v>40.60059495040312</v>
      </c>
      <c r="I13" s="276">
        <f>IF($B13&lt;&gt;0,(E13/$B13*100),(IF(E13&lt;&gt;0,1,0)))</f>
        <v>59.399405049596886</v>
      </c>
      <c r="J13" s="276">
        <f t="shared" si="3"/>
        <v>0</v>
      </c>
      <c r="K13" s="276">
        <f>IF($B13&lt;&gt;0,(B42/$B13*100),(IF(B42&lt;&gt;0,1,0)))</f>
        <v>0</v>
      </c>
    </row>
    <row r="14" spans="1:11" ht="12.75">
      <c r="A14" t="s">
        <v>4</v>
      </c>
      <c r="B14" s="77">
        <f t="shared" si="1"/>
        <v>66240727</v>
      </c>
      <c r="C14" s="77">
        <v>7160114</v>
      </c>
      <c r="D14" s="369">
        <v>0</v>
      </c>
      <c r="E14" s="73">
        <v>18506633</v>
      </c>
      <c r="F14" s="369">
        <v>0</v>
      </c>
      <c r="G14" s="77">
        <v>40573980</v>
      </c>
      <c r="H14" s="276">
        <f t="shared" si="2"/>
        <v>10.809232211476182</v>
      </c>
      <c r="I14" s="276">
        <f>IF($B14&lt;&gt;0,(E14/$B14*100),(IF(E14&lt;&gt;0,1,0)))</f>
        <v>27.938450917061946</v>
      </c>
      <c r="J14" s="276">
        <f t="shared" si="3"/>
        <v>0</v>
      </c>
      <c r="K14" s="276">
        <f t="shared" si="3"/>
        <v>61.25231687146188</v>
      </c>
    </row>
    <row r="15" spans="1:11" ht="12.75">
      <c r="A15" t="s">
        <v>5</v>
      </c>
      <c r="B15" s="77">
        <f t="shared" si="1"/>
        <v>10305966.11</v>
      </c>
      <c r="C15" s="77">
        <v>5035119.37</v>
      </c>
      <c r="D15" s="77">
        <v>2549.93</v>
      </c>
      <c r="E15" s="73">
        <v>5268296.81</v>
      </c>
      <c r="F15" s="369">
        <v>0</v>
      </c>
      <c r="G15" s="369"/>
      <c r="H15" s="276">
        <f t="shared" si="2"/>
        <v>48.88109708717061</v>
      </c>
      <c r="I15" s="276">
        <f>IF($B15&lt;&gt;0,(E15/$B15*100),(IF(E15&lt;&gt;0,1,0)))</f>
        <v>51.11890291282939</v>
      </c>
      <c r="J15" s="276">
        <f t="shared" si="3"/>
        <v>0</v>
      </c>
      <c r="K15" s="276">
        <f t="shared" si="3"/>
        <v>0</v>
      </c>
    </row>
    <row r="16" spans="2:11" ht="12.75">
      <c r="B16" s="369"/>
      <c r="C16" s="369"/>
      <c r="D16" s="369"/>
      <c r="E16" s="115"/>
      <c r="F16" s="369"/>
      <c r="G16" s="369"/>
      <c r="H16" s="276"/>
      <c r="I16" s="276"/>
      <c r="J16" s="276"/>
      <c r="K16" s="276"/>
    </row>
    <row r="17" spans="1:11" ht="12.75">
      <c r="A17" t="s">
        <v>6</v>
      </c>
      <c r="B17" s="77">
        <f t="shared" si="1"/>
        <v>4225529.109999999</v>
      </c>
      <c r="C17" s="77">
        <v>659890.83</v>
      </c>
      <c r="D17" s="77">
        <f>73879.37+3237.61</f>
        <v>77116.98</v>
      </c>
      <c r="E17" s="73">
        <v>3488521.3</v>
      </c>
      <c r="F17" s="369">
        <v>0</v>
      </c>
      <c r="G17" s="77">
        <v>0</v>
      </c>
      <c r="H17" s="276">
        <f t="shared" si="2"/>
        <v>17.441787544566225</v>
      </c>
      <c r="I17" s="276">
        <f>IF($B17&lt;&gt;0,(E17/$B17*100),(IF(E17&lt;&gt;0,1,0)))</f>
        <v>82.55821245543379</v>
      </c>
      <c r="J17" s="276">
        <f aca="true" t="shared" si="4" ref="J17:K21">IF($B17&lt;&gt;0,(F17/$B17*100),(IF(F17&lt;&gt;0,1,0)))</f>
        <v>0</v>
      </c>
      <c r="K17" s="276">
        <f>IF($B17&lt;&gt;0,(G17/$B17*100),(IF(G17&lt;&gt;0,1,0)))</f>
        <v>0</v>
      </c>
    </row>
    <row r="18" spans="1:11" ht="12.75">
      <c r="A18" t="s">
        <v>7</v>
      </c>
      <c r="B18" s="77">
        <f t="shared" si="1"/>
        <v>17526653.869999997</v>
      </c>
      <c r="C18" s="73">
        <v>10531827.87</v>
      </c>
      <c r="D18" s="369">
        <v>0</v>
      </c>
      <c r="E18" s="73">
        <v>6994826</v>
      </c>
      <c r="F18" s="369">
        <v>0</v>
      </c>
      <c r="G18" s="369">
        <v>0</v>
      </c>
      <c r="H18" s="276">
        <f t="shared" si="2"/>
        <v>60.090351233712134</v>
      </c>
      <c r="I18" s="276">
        <f>IF($B18&lt;&gt;0,(E18/$B18*100),(IF(E18&lt;&gt;0,1,0)))</f>
        <v>39.90964876628787</v>
      </c>
      <c r="J18" s="276">
        <f t="shared" si="4"/>
        <v>0</v>
      </c>
      <c r="K18" s="276">
        <f t="shared" si="4"/>
        <v>0</v>
      </c>
    </row>
    <row r="19" spans="1:11" ht="12.75">
      <c r="A19" t="s">
        <v>8</v>
      </c>
      <c r="B19" s="77">
        <f t="shared" si="1"/>
        <v>21258377.77</v>
      </c>
      <c r="C19" s="73">
        <v>5872425.61</v>
      </c>
      <c r="D19" s="77">
        <v>171755.3</v>
      </c>
      <c r="E19" s="73">
        <v>15214196.86</v>
      </c>
      <c r="F19" s="369">
        <v>0</v>
      </c>
      <c r="G19" s="369">
        <v>0</v>
      </c>
      <c r="H19" s="276">
        <f>IF(B19&lt;&gt;0,((+C19+D19)/B19*100),(IF(C19&lt;&gt;0,1,0)))</f>
        <v>28.43199502517826</v>
      </c>
      <c r="I19" s="276">
        <f>IF($B19&lt;&gt;0,(E19/$B19*100),(IF(E19&lt;&gt;0,1,0)))</f>
        <v>71.56800497482175</v>
      </c>
      <c r="J19" s="276">
        <f t="shared" si="4"/>
        <v>0</v>
      </c>
      <c r="K19" s="276">
        <f t="shared" si="4"/>
        <v>0</v>
      </c>
    </row>
    <row r="20" spans="1:11" ht="12.75">
      <c r="A20" t="s">
        <v>9</v>
      </c>
      <c r="B20" s="77">
        <f t="shared" si="1"/>
        <v>47223710.79</v>
      </c>
      <c r="C20" s="73">
        <v>40108081.15</v>
      </c>
      <c r="D20" s="77">
        <v>757.64</v>
      </c>
      <c r="E20" s="73">
        <v>7114872</v>
      </c>
      <c r="F20" s="369">
        <v>0</v>
      </c>
      <c r="G20" s="369">
        <v>0</v>
      </c>
      <c r="H20" s="276">
        <f t="shared" si="2"/>
        <v>84.93368716482435</v>
      </c>
      <c r="I20" s="276">
        <f>IF($B20&lt;&gt;0,(E20/$B20*100),(IF(E20&lt;&gt;0,1,0)))</f>
        <v>15.066312835175655</v>
      </c>
      <c r="J20" s="276">
        <f t="shared" si="4"/>
        <v>0</v>
      </c>
      <c r="K20" s="276">
        <f t="shared" si="4"/>
        <v>0</v>
      </c>
    </row>
    <row r="21" spans="1:11" ht="12.75">
      <c r="A21" t="s">
        <v>10</v>
      </c>
      <c r="B21" s="77">
        <f t="shared" si="1"/>
        <v>3049159</v>
      </c>
      <c r="C21" s="73">
        <v>863791</v>
      </c>
      <c r="D21" s="77">
        <v>888000</v>
      </c>
      <c r="E21" s="73">
        <v>1297368</v>
      </c>
      <c r="F21" s="369">
        <v>0</v>
      </c>
      <c r="G21" s="369">
        <v>0</v>
      </c>
      <c r="H21" s="276">
        <f t="shared" si="2"/>
        <v>57.451612067458605</v>
      </c>
      <c r="I21" s="276">
        <f>IF($B21&lt;&gt;0,(E21/$B21*100),(IF(E21&lt;&gt;0,1,0)))</f>
        <v>42.548387932541395</v>
      </c>
      <c r="J21" s="276">
        <f t="shared" si="4"/>
        <v>0</v>
      </c>
      <c r="K21" s="276">
        <f t="shared" si="4"/>
        <v>0</v>
      </c>
    </row>
    <row r="22" spans="2:11" ht="12.75">
      <c r="B22" s="369"/>
      <c r="C22" s="115"/>
      <c r="D22" s="369"/>
      <c r="E22" s="115"/>
      <c r="F22" s="369"/>
      <c r="G22" s="369"/>
      <c r="H22" s="276"/>
      <c r="I22" s="276"/>
      <c r="J22" s="276"/>
      <c r="K22" s="276"/>
    </row>
    <row r="23" spans="1:11" ht="12.75">
      <c r="A23" t="s">
        <v>11</v>
      </c>
      <c r="B23" s="77">
        <f t="shared" si="1"/>
        <v>48926037</v>
      </c>
      <c r="C23" s="73">
        <v>39665211</v>
      </c>
      <c r="D23" s="77">
        <v>331292</v>
      </c>
      <c r="E23" s="73">
        <v>8929534</v>
      </c>
      <c r="F23" s="369">
        <v>0</v>
      </c>
      <c r="G23" s="369">
        <v>0</v>
      </c>
      <c r="H23" s="276">
        <f t="shared" si="2"/>
        <v>81.74891213854087</v>
      </c>
      <c r="I23" s="276">
        <f>IF($B23&lt;&gt;0,(E23/$B23*100),(IF(E23&lt;&gt;0,1,0)))</f>
        <v>18.251087861459126</v>
      </c>
      <c r="J23" s="276">
        <f aca="true" t="shared" si="5" ref="J23:K27">IF($B23&lt;&gt;0,(F23/$B23*100),(IF(F23&lt;&gt;0,1,0)))</f>
        <v>0</v>
      </c>
      <c r="K23" s="276">
        <f t="shared" si="5"/>
        <v>0</v>
      </c>
    </row>
    <row r="24" spans="1:11" ht="12.75">
      <c r="A24" t="s">
        <v>12</v>
      </c>
      <c r="B24" s="77">
        <f t="shared" si="1"/>
        <v>768279.39</v>
      </c>
      <c r="C24" s="73">
        <v>687411.39</v>
      </c>
      <c r="D24" s="77">
        <v>0</v>
      </c>
      <c r="E24" s="77">
        <v>80868</v>
      </c>
      <c r="F24" s="369">
        <v>0</v>
      </c>
      <c r="G24" s="369">
        <v>0</v>
      </c>
      <c r="H24" s="276">
        <f t="shared" si="2"/>
        <v>89.47414169212583</v>
      </c>
      <c r="I24" s="276">
        <f>IF($B24&lt;&gt;0,(E24/$B24*100),(IF(E24&lt;&gt;0,1,0)))</f>
        <v>10.525858307874172</v>
      </c>
      <c r="J24" s="276">
        <f t="shared" si="5"/>
        <v>0</v>
      </c>
      <c r="K24" s="276">
        <f t="shared" si="5"/>
        <v>0</v>
      </c>
    </row>
    <row r="25" spans="1:11" ht="12.75">
      <c r="A25" t="s">
        <v>13</v>
      </c>
      <c r="B25" s="77">
        <f t="shared" si="1"/>
        <v>65213286</v>
      </c>
      <c r="C25" s="73">
        <v>49268486</v>
      </c>
      <c r="D25" s="77">
        <v>161305</v>
      </c>
      <c r="E25" s="73">
        <v>6890203</v>
      </c>
      <c r="F25" s="369">
        <v>0</v>
      </c>
      <c r="G25" s="77">
        <v>8893292</v>
      </c>
      <c r="H25" s="276">
        <f>IF(B25&lt;&gt;0,((+C25+D25)/B25*100),(IF(C25&lt;&gt;0,1,0)))</f>
        <v>75.79711747695093</v>
      </c>
      <c r="I25" s="276">
        <f>IF($B25&lt;&gt;0,(E25/$B25*100),(IF(E25&lt;&gt;0,1,0)))</f>
        <v>10.565643019430121</v>
      </c>
      <c r="J25" s="276">
        <f t="shared" si="5"/>
        <v>0</v>
      </c>
      <c r="K25" s="276">
        <f t="shared" si="5"/>
        <v>13.63723950361894</v>
      </c>
    </row>
    <row r="26" spans="1:11" ht="12.75">
      <c r="A26" t="s">
        <v>14</v>
      </c>
      <c r="B26" s="77">
        <f>SUM(C26:F26)</f>
        <v>98716810</v>
      </c>
      <c r="C26" s="77">
        <v>82879987</v>
      </c>
      <c r="D26" s="77">
        <v>160448</v>
      </c>
      <c r="E26" s="73">
        <v>15676375</v>
      </c>
      <c r="F26" s="369">
        <v>0</v>
      </c>
      <c r="G26" s="369">
        <v>0</v>
      </c>
      <c r="H26" s="276">
        <f>IF(B26&lt;&gt;0,((+C27+D26)/B26*100),(IF(C27&lt;&gt;0,1,0)))</f>
        <v>5.440635693150943</v>
      </c>
      <c r="I26" s="276">
        <f>IF($B26&lt;&gt;0,(E26/$B26*100),(IF(E26&lt;&gt;0,1,0)))</f>
        <v>15.880147464246463</v>
      </c>
      <c r="J26" s="276">
        <f t="shared" si="5"/>
        <v>0</v>
      </c>
      <c r="K26" s="276">
        <f>IF($B26&lt;&gt;0,(C26/$B26*100),(IF(C26&lt;&gt;0,1,0)))</f>
        <v>83.95731892065798</v>
      </c>
    </row>
    <row r="27" spans="1:11" ht="12.75">
      <c r="A27" t="s">
        <v>15</v>
      </c>
      <c r="B27" s="77">
        <f t="shared" si="1"/>
        <v>7087537</v>
      </c>
      <c r="C27" s="73">
        <v>5210374</v>
      </c>
      <c r="D27" s="369">
        <v>0</v>
      </c>
      <c r="E27" s="73">
        <v>1877163</v>
      </c>
      <c r="F27" s="369">
        <v>0</v>
      </c>
      <c r="G27" s="369">
        <v>0</v>
      </c>
      <c r="H27" s="276">
        <f>IF(B27&lt;&gt;0,((+C28+D27)/B27*100),(IF(C28&lt;&gt;0,1,0)))</f>
        <v>0</v>
      </c>
      <c r="I27" s="276">
        <f>IF($B27&lt;&gt;0,(E27/$B27*100),(IF(E27&lt;&gt;0,1,0)))</f>
        <v>26.485406707576974</v>
      </c>
      <c r="J27" s="276">
        <f t="shared" si="5"/>
        <v>0</v>
      </c>
      <c r="K27" s="276">
        <f t="shared" si="5"/>
        <v>0</v>
      </c>
    </row>
    <row r="28" spans="2:11" ht="12.75">
      <c r="B28" s="369"/>
      <c r="C28" s="115"/>
      <c r="D28" s="115"/>
      <c r="E28" s="115"/>
      <c r="F28" s="369"/>
      <c r="G28" s="369"/>
      <c r="H28" s="276"/>
      <c r="I28" s="276"/>
      <c r="J28" s="276"/>
      <c r="K28" s="276"/>
    </row>
    <row r="29" spans="1:11" ht="12.75">
      <c r="A29" t="s">
        <v>16</v>
      </c>
      <c r="B29" s="77">
        <f t="shared" si="1"/>
        <v>220420100.8</v>
      </c>
      <c r="C29" s="73">
        <v>191511307.8</v>
      </c>
      <c r="D29" s="77">
        <v>34000</v>
      </c>
      <c r="E29" s="73">
        <v>28874793</v>
      </c>
      <c r="F29" s="369">
        <v>0</v>
      </c>
      <c r="G29" s="369">
        <v>0</v>
      </c>
      <c r="H29" s="276">
        <f>IF(B29&lt;&gt;0,((+C30+D30)/B29*100),(IF(C30&lt;&gt;0,1,0)))</f>
        <v>53.73342021445986</v>
      </c>
      <c r="I29" s="276">
        <f>IF($B29&lt;&gt;0,(E29/$B29*100),(IF(E29&lt;&gt;0,1,0)))</f>
        <v>13.09989102409484</v>
      </c>
      <c r="J29" s="276">
        <f aca="true" t="shared" si="6" ref="J29:K33">IF($B29&lt;&gt;0,(F29/$B29*100),(IF(F29&lt;&gt;0,1,0)))</f>
        <v>0</v>
      </c>
      <c r="K29" s="276">
        <f t="shared" si="6"/>
        <v>0</v>
      </c>
    </row>
    <row r="30" spans="1:11" ht="12.75">
      <c r="A30" t="s">
        <v>17</v>
      </c>
      <c r="B30" s="77">
        <f t="shared" si="1"/>
        <v>140746304</v>
      </c>
      <c r="C30" s="73">
        <v>69132747.89</v>
      </c>
      <c r="D30" s="77">
        <f>118439259-69132747.89</f>
        <v>49306511.11</v>
      </c>
      <c r="E30" s="73">
        <v>22307045</v>
      </c>
      <c r="F30" s="369">
        <v>0</v>
      </c>
      <c r="G30" s="369">
        <v>0</v>
      </c>
      <c r="H30" s="276">
        <f>IF(B30&lt;&gt;0,((+C31+D31)/B30*100),(IF(C31&lt;&gt;0,1,0)))</f>
        <v>1.6683746665205506</v>
      </c>
      <c r="I30" s="276">
        <f>IF($B30&lt;&gt;0,(E30/$B30*100),(IF(E30&lt;&gt;0,1,0)))</f>
        <v>15.849116009469066</v>
      </c>
      <c r="J30" s="276">
        <f t="shared" si="6"/>
        <v>0</v>
      </c>
      <c r="K30" s="276">
        <f t="shared" si="6"/>
        <v>0</v>
      </c>
    </row>
    <row r="31" spans="1:11" ht="12.75">
      <c r="A31" t="s">
        <v>18</v>
      </c>
      <c r="B31" s="77">
        <f t="shared" si="1"/>
        <v>7957579.68</v>
      </c>
      <c r="C31" s="73">
        <v>2342993.25</v>
      </c>
      <c r="D31" s="77">
        <v>5182.43</v>
      </c>
      <c r="E31" s="73">
        <f>59500+5549904</f>
        <v>5609404</v>
      </c>
      <c r="F31" s="369">
        <v>0</v>
      </c>
      <c r="G31" s="369"/>
      <c r="H31" s="276">
        <f>IF(B31&lt;&gt;0,((+C32+D32)/B31*100),(IF(C32&lt;&gt;0,1,0)))</f>
        <v>176.07261772338293</v>
      </c>
      <c r="I31" s="276">
        <f>IF($B31&lt;&gt;0,(E31/$B31*100),(IF(E31&lt;&gt;0,1,0)))</f>
        <v>70.4913331134876</v>
      </c>
      <c r="J31" s="276">
        <f t="shared" si="6"/>
        <v>0</v>
      </c>
      <c r="K31" s="276">
        <f t="shared" si="6"/>
        <v>0</v>
      </c>
    </row>
    <row r="32" spans="1:11" ht="12.75">
      <c r="A32" t="s">
        <v>19</v>
      </c>
      <c r="B32" s="77">
        <f t="shared" si="1"/>
        <v>19708904.99</v>
      </c>
      <c r="C32" s="73">
        <v>14005288.91</v>
      </c>
      <c r="D32" s="77">
        <f>5123.62+706.32</f>
        <v>5829.94</v>
      </c>
      <c r="E32" s="73">
        <v>5697786.14</v>
      </c>
      <c r="F32" s="369">
        <v>0</v>
      </c>
      <c r="G32" s="369">
        <v>0</v>
      </c>
      <c r="H32" s="276">
        <f>IF(B32&lt;&gt;0,((+C32+D32)/B32*100),(IF(C32&lt;&gt;0,1,0)))</f>
        <v>71.09029576787259</v>
      </c>
      <c r="I32" s="276">
        <f>IF($B32&lt;&gt;0,(E32/$B32*100),(IF(E32&lt;&gt;0,1,0)))</f>
        <v>28.90970423212741</v>
      </c>
      <c r="J32" s="276">
        <f t="shared" si="6"/>
        <v>0</v>
      </c>
      <c r="K32" s="276">
        <f t="shared" si="6"/>
        <v>0</v>
      </c>
    </row>
    <row r="33" spans="1:11" ht="12.75">
      <c r="A33" t="s">
        <v>20</v>
      </c>
      <c r="B33" s="77">
        <f t="shared" si="1"/>
        <v>1615629.26</v>
      </c>
      <c r="C33" s="77">
        <v>1615629.26</v>
      </c>
      <c r="D33" s="369">
        <v>0</v>
      </c>
      <c r="E33" s="115">
        <v>0</v>
      </c>
      <c r="F33" s="369">
        <v>0</v>
      </c>
      <c r="G33" s="370">
        <v>0</v>
      </c>
      <c r="H33" s="276">
        <f t="shared" si="2"/>
        <v>100</v>
      </c>
      <c r="I33" s="276">
        <f>IF($B33&lt;&gt;0,(E33/$B33*100),(IF(E33&lt;&gt;0,1,0)))</f>
        <v>0</v>
      </c>
      <c r="J33" s="276">
        <f t="shared" si="6"/>
        <v>0</v>
      </c>
      <c r="K33" s="276">
        <f t="shared" si="6"/>
        <v>0</v>
      </c>
    </row>
    <row r="34" spans="2:11" ht="12.75">
      <c r="B34" s="369"/>
      <c r="C34" s="369"/>
      <c r="D34" s="369"/>
      <c r="E34" s="115"/>
      <c r="F34" s="369"/>
      <c r="G34" s="369"/>
      <c r="H34" s="276"/>
      <c r="I34" s="276"/>
      <c r="J34" s="276"/>
      <c r="K34" s="276"/>
    </row>
    <row r="35" spans="1:11" ht="12.75">
      <c r="A35" t="s">
        <v>21</v>
      </c>
      <c r="B35" s="77">
        <f t="shared" si="1"/>
        <v>1319171.7</v>
      </c>
      <c r="C35" s="77">
        <f>637244+548927.7</f>
        <v>1186171.7</v>
      </c>
      <c r="D35" s="369">
        <v>0</v>
      </c>
      <c r="E35" s="73">
        <v>133000</v>
      </c>
      <c r="F35" s="369">
        <v>0</v>
      </c>
      <c r="G35" s="369">
        <v>0</v>
      </c>
      <c r="H35" s="276">
        <f t="shared" si="2"/>
        <v>89.91791591648001</v>
      </c>
      <c r="I35" s="276">
        <f>IF($B35&lt;&gt;0,(E35/$B35*100),(IF(E35&lt;&gt;0,1,0)))</f>
        <v>10.082084083519986</v>
      </c>
      <c r="J35" s="276">
        <f aca="true" t="shared" si="7" ref="J35:K38">IF($B35&lt;&gt;0,(F35/$B35*100),(IF(F35&lt;&gt;0,1,0)))</f>
        <v>0</v>
      </c>
      <c r="K35" s="276">
        <f t="shared" si="7"/>
        <v>0</v>
      </c>
    </row>
    <row r="36" spans="1:11" ht="12.75">
      <c r="A36" t="s">
        <v>22</v>
      </c>
      <c r="B36" s="77">
        <f t="shared" si="1"/>
        <v>9955188</v>
      </c>
      <c r="C36" s="77">
        <v>8090097</v>
      </c>
      <c r="D36" s="369">
        <v>0</v>
      </c>
      <c r="E36" s="73">
        <v>1865091</v>
      </c>
      <c r="F36" s="369">
        <v>0</v>
      </c>
      <c r="G36" s="369">
        <v>0</v>
      </c>
      <c r="H36" s="276">
        <f t="shared" si="2"/>
        <v>81.26513532441577</v>
      </c>
      <c r="I36" s="276">
        <f>IF($B36&lt;&gt;0,(E36/$B36*100),(IF(E36&lt;&gt;0,1,0)))</f>
        <v>18.734864675584227</v>
      </c>
      <c r="J36" s="276">
        <f t="shared" si="7"/>
        <v>0</v>
      </c>
      <c r="K36" s="276">
        <f t="shared" si="7"/>
        <v>0</v>
      </c>
    </row>
    <row r="37" spans="1:11" ht="12.75">
      <c r="A37" t="s">
        <v>23</v>
      </c>
      <c r="B37" s="77">
        <f t="shared" si="1"/>
        <v>12151402.67</v>
      </c>
      <c r="C37" s="77">
        <v>0</v>
      </c>
      <c r="D37" s="77">
        <v>7668167</v>
      </c>
      <c r="E37" s="73">
        <v>4171504.42</v>
      </c>
      <c r="F37" s="369">
        <v>0</v>
      </c>
      <c r="G37" s="77">
        <f>311731.25</f>
        <v>311731.25</v>
      </c>
      <c r="H37" s="276">
        <f t="shared" si="2"/>
        <v>63.10520034803522</v>
      </c>
      <c r="I37" s="276">
        <f>IF($B37&lt;&gt;0,(E37/$B37*100),(IF(E37&lt;&gt;0,1,0)))</f>
        <v>34.329406516161484</v>
      </c>
      <c r="J37" s="276">
        <f t="shared" si="7"/>
        <v>0</v>
      </c>
      <c r="K37" s="276">
        <f t="shared" si="7"/>
        <v>2.565393135803309</v>
      </c>
    </row>
    <row r="38" spans="1:11" ht="12.75">
      <c r="A38" s="14" t="s">
        <v>24</v>
      </c>
      <c r="B38" s="237">
        <f t="shared" si="1"/>
        <v>10647917.8</v>
      </c>
      <c r="C38" s="237">
        <v>8330292.26</v>
      </c>
      <c r="D38" s="371">
        <v>424.05</v>
      </c>
      <c r="E38" s="237">
        <v>2317201.49</v>
      </c>
      <c r="F38" s="221">
        <v>0</v>
      </c>
      <c r="G38" s="221">
        <v>0</v>
      </c>
      <c r="H38" s="277">
        <f t="shared" si="2"/>
        <v>78.23798480112232</v>
      </c>
      <c r="I38" s="277">
        <f>IF($B38&lt;&gt;0,(E38/$B38*100),(IF(E38&lt;&gt;0,1,0)))</f>
        <v>21.762015198877663</v>
      </c>
      <c r="J38" s="277">
        <f t="shared" si="7"/>
        <v>0</v>
      </c>
      <c r="K38" s="277">
        <f t="shared" si="7"/>
        <v>0</v>
      </c>
    </row>
    <row r="39" spans="1:10" ht="12.75">
      <c r="A39" s="23" t="s">
        <v>339</v>
      </c>
      <c r="B39" s="3"/>
      <c r="C39" s="43"/>
      <c r="D39" s="43"/>
      <c r="E39" s="43"/>
      <c r="F39" s="43"/>
      <c r="G39" s="43"/>
      <c r="H39" s="20"/>
      <c r="I39" s="20"/>
      <c r="J39" s="20"/>
    </row>
    <row r="40" spans="1:4" ht="12.75">
      <c r="A40" s="63" t="s">
        <v>338</v>
      </c>
      <c r="D40" s="1"/>
    </row>
    <row r="41" spans="1:5" ht="12.75">
      <c r="A41" s="63"/>
      <c r="D41" s="1"/>
      <c r="E41" s="275"/>
    </row>
    <row r="42" spans="2:5" ht="12.75">
      <c r="B42" s="116"/>
      <c r="D42" s="1"/>
      <c r="E42" s="275"/>
    </row>
    <row r="43" spans="4:6" ht="12.75">
      <c r="D43" s="1"/>
      <c r="F43" s="275"/>
    </row>
    <row r="44" spans="4:5" ht="12.75">
      <c r="D44" s="1"/>
      <c r="E44" s="275"/>
    </row>
    <row r="45" spans="4:5" ht="12.75">
      <c r="D45" s="1"/>
      <c r="E45" s="275"/>
    </row>
    <row r="46" ht="12.75">
      <c r="E46" s="275"/>
    </row>
    <row r="47" ht="12.75">
      <c r="E47" s="275"/>
    </row>
    <row r="48" ht="12.75">
      <c r="E48" s="275"/>
    </row>
    <row r="49" ht="12.75">
      <c r="E49" s="275"/>
    </row>
    <row r="50" ht="12.75">
      <c r="E50" s="275"/>
    </row>
    <row r="51" ht="12.75">
      <c r="E51" s="275"/>
    </row>
    <row r="52" ht="12.75">
      <c r="E52" s="275"/>
    </row>
    <row r="53" ht="12.75">
      <c r="E53" s="275"/>
    </row>
    <row r="54" ht="12.75">
      <c r="E54" s="275"/>
    </row>
    <row r="55" ht="12.75">
      <c r="E55" s="275"/>
    </row>
    <row r="56" ht="12.75">
      <c r="E56" s="275"/>
    </row>
    <row r="57" ht="12.75">
      <c r="E57" s="275"/>
    </row>
    <row r="58" ht="12.75">
      <c r="E58" s="275"/>
    </row>
    <row r="59" ht="12.75">
      <c r="E59" s="275"/>
    </row>
    <row r="63" ht="12.75">
      <c r="F63" s="275"/>
    </row>
    <row r="64" ht="12.75">
      <c r="E64" s="275"/>
    </row>
    <row r="66" ht="12.75">
      <c r="E66" s="275"/>
    </row>
    <row r="67" ht="12.75">
      <c r="E67" s="275"/>
    </row>
    <row r="68" ht="12.75">
      <c r="E68" s="275"/>
    </row>
    <row r="69" ht="12.75">
      <c r="E69" s="275"/>
    </row>
  </sheetData>
  <sheetProtection password="CAF5" sheet="1" objects="1" scenarios="1"/>
  <mergeCells count="6">
    <mergeCell ref="A1:K1"/>
    <mergeCell ref="A3:K3"/>
    <mergeCell ref="C7:D7"/>
    <mergeCell ref="A4:J4"/>
    <mergeCell ref="C6:F6"/>
    <mergeCell ref="H6:K6"/>
  </mergeCells>
  <printOptions horizontalCentered="1"/>
  <pageMargins left="0.5" right="0.52" top="0.83" bottom="1" header="0.67" footer="0.5"/>
  <pageSetup fitToHeight="1" fitToWidth="1" horizontalDpi="600" verticalDpi="600" orientation="landscape" scale="94" r:id="rId1"/>
  <headerFooter alignWithMargins="0">
    <oddFooter>&amp;L&amp;"Arial,Italic"&amp;9MSDE-DBS  12  / 2007&amp;C- 4 -&amp;R&amp;"Arial,Italic"&amp;9Selected Financial Data-Part 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3"/>
  <sheetViews>
    <sheetView workbookViewId="0" topLeftCell="A1">
      <pane ySplit="9" topLeftCell="BM10" activePane="bottomLeft" state="frozen"/>
      <selection pane="topLeft" activeCell="A1" sqref="A1"/>
      <selection pane="bottomLeft" activeCell="F35" sqref="F35"/>
    </sheetView>
  </sheetViews>
  <sheetFormatPr defaultColWidth="9.140625" defaultRowHeight="12.75"/>
  <cols>
    <col min="1" max="1" width="14.140625" style="0" customWidth="1"/>
    <col min="2" max="3" width="14.00390625" style="0" bestFit="1" customWidth="1"/>
    <col min="4" max="4" width="12.8515625" style="0" bestFit="1" customWidth="1"/>
    <col min="5" max="5" width="12.28125" style="0" customWidth="1"/>
    <col min="6" max="6" width="12.140625" style="0" customWidth="1"/>
    <col min="7" max="7" width="14.00390625" style="0" bestFit="1" customWidth="1"/>
  </cols>
  <sheetData>
    <row r="1" spans="1:11" ht="12.75">
      <c r="A1" s="457" t="s">
        <v>110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ht="12.75">
      <c r="A2" s="113"/>
    </row>
    <row r="3" spans="1:11" ht="12.75">
      <c r="A3" s="457" t="s">
        <v>260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0" ht="12.75">
      <c r="A4" s="457"/>
      <c r="B4" s="457"/>
      <c r="C4" s="457"/>
      <c r="D4" s="457"/>
      <c r="E4" s="457"/>
      <c r="F4" s="457"/>
      <c r="G4" s="457"/>
      <c r="H4" s="457"/>
      <c r="I4" s="457"/>
      <c r="J4" s="457"/>
    </row>
    <row r="5" spans="1:11" ht="13.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55" ht="15" customHeight="1" thickTop="1">
      <c r="A6" s="3" t="s">
        <v>99</v>
      </c>
      <c r="B6" s="4" t="s">
        <v>52</v>
      </c>
      <c r="C6" s="459" t="s">
        <v>102</v>
      </c>
      <c r="D6" s="459"/>
      <c r="E6" s="459"/>
      <c r="F6" s="459"/>
      <c r="G6" s="3"/>
      <c r="H6" s="459" t="s">
        <v>104</v>
      </c>
      <c r="I6" s="459"/>
      <c r="J6" s="459"/>
      <c r="K6" s="45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11" ht="12.75">
      <c r="A7" s="3" t="s">
        <v>41</v>
      </c>
      <c r="B7" s="9" t="s">
        <v>105</v>
      </c>
      <c r="C7" s="458" t="s">
        <v>99</v>
      </c>
      <c r="D7" s="458"/>
      <c r="E7" s="11"/>
      <c r="F7" s="11"/>
      <c r="G7" s="9" t="s">
        <v>101</v>
      </c>
      <c r="H7" s="4"/>
      <c r="I7" s="4"/>
      <c r="J7" s="4"/>
      <c r="K7" s="4" t="s">
        <v>101</v>
      </c>
    </row>
    <row r="8" spans="1:11" ht="13.5" thickBot="1">
      <c r="A8" s="7" t="s">
        <v>143</v>
      </c>
      <c r="B8" s="10" t="s">
        <v>106</v>
      </c>
      <c r="C8" s="8" t="s">
        <v>100</v>
      </c>
      <c r="D8" s="8" t="s">
        <v>327</v>
      </c>
      <c r="E8" s="8" t="s">
        <v>53</v>
      </c>
      <c r="F8" s="8" t="s">
        <v>65</v>
      </c>
      <c r="G8" s="8" t="s">
        <v>329</v>
      </c>
      <c r="H8" s="10" t="s">
        <v>99</v>
      </c>
      <c r="I8" s="10" t="s">
        <v>53</v>
      </c>
      <c r="J8" s="49" t="s">
        <v>65</v>
      </c>
      <c r="K8" s="8" t="s">
        <v>103</v>
      </c>
    </row>
    <row r="9" spans="1:11" ht="12.75">
      <c r="A9" s="3" t="s">
        <v>0</v>
      </c>
      <c r="B9" s="12">
        <f aca="true" t="shared" si="0" ref="B9:G9">SUM(B11:B38)</f>
        <v>324352777.53</v>
      </c>
      <c r="C9" s="12">
        <f t="shared" si="0"/>
        <v>299521605.62</v>
      </c>
      <c r="D9" s="12">
        <f>SUM(D11:D38)</f>
        <v>10644753.91</v>
      </c>
      <c r="E9" s="12">
        <f t="shared" si="0"/>
        <v>0</v>
      </c>
      <c r="F9" s="12">
        <f t="shared" si="0"/>
        <v>0</v>
      </c>
      <c r="G9" s="12">
        <f t="shared" si="0"/>
        <v>14186418</v>
      </c>
      <c r="H9" s="42">
        <f>IF(B9&lt;&gt;0,((+C9+D9)/B9*100),(IF(C9&lt;&gt;0,1,0)))</f>
        <v>95.62623816326413</v>
      </c>
      <c r="I9" s="42">
        <f>IF($B9&lt;&gt;0,(E9/$B9*100),(IF(E9&lt;&gt;0,1,0)))</f>
        <v>0</v>
      </c>
      <c r="J9" s="42">
        <f>IF($B9&lt;&gt;0,(F9/$B9*100),(IF(F9&lt;&gt;0,1,0)))</f>
        <v>0</v>
      </c>
      <c r="K9" s="42">
        <f>IF($B9&lt;&gt;0,(G9/$B9*100),(IF(G9&lt;&gt;0,1,0)))</f>
        <v>4.3737618367358895</v>
      </c>
    </row>
    <row r="10" spans="1:11" ht="12.75">
      <c r="A10" s="3"/>
      <c r="B10" s="11"/>
      <c r="C10" s="11"/>
      <c r="D10" s="15"/>
      <c r="E10" s="4"/>
      <c r="F10" s="4"/>
      <c r="G10" s="4"/>
      <c r="H10" s="16"/>
      <c r="I10" s="16"/>
      <c r="J10" s="42"/>
      <c r="K10" s="42"/>
    </row>
    <row r="11" spans="1:11" ht="12.75">
      <c r="A11" t="s">
        <v>1</v>
      </c>
      <c r="B11" s="15">
        <f>SUM(D11:G11)</f>
        <v>1604019</v>
      </c>
      <c r="C11" s="56">
        <v>0</v>
      </c>
      <c r="D11" s="172">
        <v>1604019</v>
      </c>
      <c r="E11" s="15">
        <v>0</v>
      </c>
      <c r="F11" s="15">
        <v>0</v>
      </c>
      <c r="G11" s="15">
        <v>0</v>
      </c>
      <c r="H11" s="42">
        <f aca="true" t="shared" si="1" ref="H11:H38">IF(B11&lt;&gt;0,((+C11+D11)/B11*100),(IF(C11&lt;&gt;0,1,0)))</f>
        <v>100</v>
      </c>
      <c r="I11" s="42">
        <f>IF($B11&lt;&gt;0,(E11/$B11*100),(IF(E11&lt;&gt;0,1,0)))</f>
        <v>0</v>
      </c>
      <c r="J11" s="42">
        <f aca="true" t="shared" si="2" ref="J11:K15">IF($B11&lt;&gt;0,(F11/$B11*100),(IF(F11&lt;&gt;0,1,0)))</f>
        <v>0</v>
      </c>
      <c r="K11" s="42">
        <f t="shared" si="2"/>
        <v>0</v>
      </c>
    </row>
    <row r="12" spans="1:11" ht="12.75">
      <c r="A12" t="s">
        <v>2</v>
      </c>
      <c r="B12" s="15">
        <f>SUM(C12:G12)</f>
        <v>28235405</v>
      </c>
      <c r="C12" s="244">
        <v>28235405</v>
      </c>
      <c r="D12" s="380">
        <v>0</v>
      </c>
      <c r="E12" s="15">
        <v>0</v>
      </c>
      <c r="F12" s="15">
        <v>0</v>
      </c>
      <c r="G12" s="15">
        <v>0</v>
      </c>
      <c r="H12" s="42">
        <f t="shared" si="1"/>
        <v>100</v>
      </c>
      <c r="I12" s="42">
        <f>IF($B12&lt;&gt;0,(E12/$B12*100),(IF(E12&lt;&gt;0,1,0)))</f>
        <v>0</v>
      </c>
      <c r="J12" s="42">
        <f t="shared" si="2"/>
        <v>0</v>
      </c>
      <c r="K12" s="42">
        <f t="shared" si="2"/>
        <v>0</v>
      </c>
    </row>
    <row r="13" spans="1:11" ht="12.75">
      <c r="A13" t="s">
        <v>3</v>
      </c>
      <c r="B13" s="15">
        <f>SUM(C13:G13)</f>
        <v>7725372.3</v>
      </c>
      <c r="C13" s="56">
        <v>7725372.3</v>
      </c>
      <c r="D13" s="380">
        <v>0</v>
      </c>
      <c r="E13" s="369">
        <v>0</v>
      </c>
      <c r="F13" s="15">
        <v>0</v>
      </c>
      <c r="G13" s="56">
        <v>0</v>
      </c>
      <c r="H13" s="42">
        <f>IF(B13&lt;&gt;0,((+C13+D13)/B13*100),(IF(C13&lt;&gt;0,1,0)))</f>
        <v>100</v>
      </c>
      <c r="I13" s="42">
        <f>IF($B13&lt;&gt;0,(E13/$B13*100),(IF(E13&lt;&gt;0,1,0)))</f>
        <v>0</v>
      </c>
      <c r="J13" s="42">
        <f t="shared" si="2"/>
        <v>0</v>
      </c>
      <c r="K13" s="42">
        <f t="shared" si="2"/>
        <v>0</v>
      </c>
    </row>
    <row r="14" spans="1:11" ht="12.75">
      <c r="A14" t="s">
        <v>4</v>
      </c>
      <c r="B14" s="15">
        <f>SUM(C14:G14)</f>
        <v>23579937</v>
      </c>
      <c r="C14" s="175">
        <v>23579937</v>
      </c>
      <c r="D14" s="15">
        <v>0</v>
      </c>
      <c r="E14" s="15">
        <v>0</v>
      </c>
      <c r="F14" s="15">
        <v>0</v>
      </c>
      <c r="G14" s="15">
        <v>0</v>
      </c>
      <c r="H14" s="42">
        <f t="shared" si="1"/>
        <v>100</v>
      </c>
      <c r="I14" s="42">
        <f>IF($B14&lt;&gt;0,(E14/$B14*100),(IF(E14&lt;&gt;0,1,0)))</f>
        <v>0</v>
      </c>
      <c r="J14" s="42">
        <f t="shared" si="2"/>
        <v>0</v>
      </c>
      <c r="K14" s="42">
        <f t="shared" si="2"/>
        <v>0</v>
      </c>
    </row>
    <row r="15" spans="1:11" ht="12.75">
      <c r="A15" t="s">
        <v>5</v>
      </c>
      <c r="B15" s="15">
        <f>SUM(C15:G15)</f>
        <v>5331400</v>
      </c>
      <c r="C15" s="233">
        <v>5331400</v>
      </c>
      <c r="D15" s="15">
        <v>0</v>
      </c>
      <c r="E15" s="15">
        <v>0</v>
      </c>
      <c r="F15" s="15">
        <v>0</v>
      </c>
      <c r="G15" s="15">
        <v>0</v>
      </c>
      <c r="H15" s="42">
        <f t="shared" si="1"/>
        <v>100</v>
      </c>
      <c r="I15" s="42">
        <f>IF($B15&lt;&gt;0,(E15/$B15*100),(IF(E15&lt;&gt;0,1,0)))</f>
        <v>0</v>
      </c>
      <c r="J15" s="42">
        <f t="shared" si="2"/>
        <v>0</v>
      </c>
      <c r="K15" s="42">
        <f t="shared" si="2"/>
        <v>0</v>
      </c>
    </row>
    <row r="16" spans="2:11" ht="12.75">
      <c r="B16" s="15"/>
      <c r="C16" s="56"/>
      <c r="D16" s="15"/>
      <c r="E16" s="15"/>
      <c r="F16" s="15"/>
      <c r="G16" s="15"/>
      <c r="H16" s="42"/>
      <c r="I16" s="42"/>
      <c r="J16" s="42"/>
      <c r="K16" s="42"/>
    </row>
    <row r="17" spans="1:11" ht="12.75">
      <c r="A17" t="s">
        <v>6</v>
      </c>
      <c r="B17" s="15">
        <f>SUM(C17:G17)</f>
        <v>1175319.73</v>
      </c>
      <c r="C17" s="366">
        <v>0</v>
      </c>
      <c r="D17" s="56">
        <v>1175319.73</v>
      </c>
      <c r="E17" s="205">
        <v>0</v>
      </c>
      <c r="F17" s="205">
        <v>0</v>
      </c>
      <c r="G17" s="205">
        <v>0</v>
      </c>
      <c r="H17" s="42">
        <f t="shared" si="1"/>
        <v>100</v>
      </c>
      <c r="I17" s="210">
        <f>IF($B17&lt;&gt;0,(E17/$B17*100),(IF(E17&lt;&gt;0,1,0)))</f>
        <v>0</v>
      </c>
      <c r="J17" s="210">
        <f aca="true" t="shared" si="3" ref="J17:K21">IF($B17&lt;&gt;0,(F17/$B17*100),(IF(F17&lt;&gt;0,1,0)))</f>
        <v>0</v>
      </c>
      <c r="K17" s="210">
        <f t="shared" si="3"/>
        <v>0</v>
      </c>
    </row>
    <row r="18" spans="1:11" ht="12.75">
      <c r="A18" t="s">
        <v>7</v>
      </c>
      <c r="B18" s="15">
        <f>SUM(C18:G18)</f>
        <v>8650304.32</v>
      </c>
      <c r="C18" s="233">
        <v>8650304.32</v>
      </c>
      <c r="D18" s="205">
        <v>0</v>
      </c>
      <c r="E18" s="205">
        <v>0</v>
      </c>
      <c r="F18" s="205">
        <v>0</v>
      </c>
      <c r="G18" s="205">
        <v>0</v>
      </c>
      <c r="H18" s="42">
        <f t="shared" si="1"/>
        <v>100</v>
      </c>
      <c r="I18" s="210">
        <f>IF($B18&lt;&gt;0,(E18/$B18*100),(IF(E18&lt;&gt;0,1,0)))</f>
        <v>0</v>
      </c>
      <c r="J18" s="210">
        <f t="shared" si="3"/>
        <v>0</v>
      </c>
      <c r="K18" s="210">
        <f t="shared" si="3"/>
        <v>0</v>
      </c>
    </row>
    <row r="19" spans="1:11" ht="12.75">
      <c r="A19" t="s">
        <v>8</v>
      </c>
      <c r="B19" s="15">
        <f>SUM(C19:G19)</f>
        <v>5684114</v>
      </c>
      <c r="C19" s="366">
        <v>0</v>
      </c>
      <c r="D19" s="56">
        <v>5684114</v>
      </c>
      <c r="E19" s="205">
        <v>0</v>
      </c>
      <c r="F19" s="205">
        <v>0</v>
      </c>
      <c r="G19" s="205">
        <v>0</v>
      </c>
      <c r="H19" s="42">
        <f t="shared" si="1"/>
        <v>100</v>
      </c>
      <c r="I19" s="210">
        <f>IF($B19&lt;&gt;0,(E19/$B19*100),(IF(E19&lt;&gt;0,1,0)))</f>
        <v>0</v>
      </c>
      <c r="J19" s="210">
        <f t="shared" si="3"/>
        <v>0</v>
      </c>
      <c r="K19" s="210">
        <f t="shared" si="3"/>
        <v>0</v>
      </c>
    </row>
    <row r="20" spans="1:11" ht="12.75">
      <c r="A20" t="s">
        <v>9</v>
      </c>
      <c r="B20" s="15">
        <f>SUM(C20:G20)</f>
        <v>4641773</v>
      </c>
      <c r="C20" s="233">
        <v>4641773</v>
      </c>
      <c r="D20" s="205">
        <v>0</v>
      </c>
      <c r="E20" s="205">
        <v>0</v>
      </c>
      <c r="F20" s="205">
        <v>0</v>
      </c>
      <c r="G20" s="205">
        <v>0</v>
      </c>
      <c r="H20" s="42">
        <f t="shared" si="1"/>
        <v>100</v>
      </c>
      <c r="I20" s="210">
        <f>IF($B20&lt;&gt;0,(E20/$B20*100),(IF(E20&lt;&gt;0,1,0)))</f>
        <v>0</v>
      </c>
      <c r="J20" s="210">
        <f t="shared" si="3"/>
        <v>0</v>
      </c>
      <c r="K20" s="210">
        <f t="shared" si="3"/>
        <v>0</v>
      </c>
    </row>
    <row r="21" spans="1:11" ht="12.75">
      <c r="A21" t="s">
        <v>10</v>
      </c>
      <c r="B21" s="15">
        <f>SUM(C21:G21)</f>
        <v>1612455</v>
      </c>
      <c r="C21" s="233">
        <v>1612455</v>
      </c>
      <c r="D21" s="205">
        <v>0</v>
      </c>
      <c r="E21" s="205">
        <v>0</v>
      </c>
      <c r="F21" s="205">
        <v>0</v>
      </c>
      <c r="G21" s="205">
        <v>0</v>
      </c>
      <c r="H21" s="42">
        <f t="shared" si="1"/>
        <v>100</v>
      </c>
      <c r="I21" s="210">
        <f>IF($B21&lt;&gt;0,(E21/$B21*100),(IF(E21&lt;&gt;0,1,0)))</f>
        <v>0</v>
      </c>
      <c r="J21" s="210">
        <f t="shared" si="3"/>
        <v>0</v>
      </c>
      <c r="K21" s="210">
        <f t="shared" si="3"/>
        <v>0</v>
      </c>
    </row>
    <row r="22" spans="2:11" ht="12.75">
      <c r="B22" s="205"/>
      <c r="C22" s="366"/>
      <c r="D22" s="205"/>
      <c r="E22" s="205"/>
      <c r="F22" s="205"/>
      <c r="G22" s="205"/>
      <c r="H22" s="210"/>
      <c r="I22" s="210"/>
      <c r="J22" s="210"/>
      <c r="K22" s="210"/>
    </row>
    <row r="23" spans="1:11" ht="12.75">
      <c r="A23" t="s">
        <v>11</v>
      </c>
      <c r="B23" s="15">
        <f>SUM(C23:G23)</f>
        <v>27778161</v>
      </c>
      <c r="C23" s="233">
        <v>17873719</v>
      </c>
      <c r="D23" s="205">
        <v>0</v>
      </c>
      <c r="E23" s="205">
        <v>0</v>
      </c>
      <c r="F23" s="205">
        <v>0</v>
      </c>
      <c r="G23" s="56">
        <v>9904442</v>
      </c>
      <c r="H23" s="42">
        <f t="shared" si="1"/>
        <v>64.3445007032683</v>
      </c>
      <c r="I23" s="210">
        <f>IF($B23&lt;&gt;0,(E23/$B23*100),(IF(E23&lt;&gt;0,1,0)))</f>
        <v>0</v>
      </c>
      <c r="J23" s="210">
        <f aca="true" t="shared" si="4" ref="J23:K27">IF($B23&lt;&gt;0,(F23/$B23*100),(IF(F23&lt;&gt;0,1,0)))</f>
        <v>0</v>
      </c>
      <c r="K23" s="162">
        <f t="shared" si="4"/>
        <v>35.655499296731705</v>
      </c>
    </row>
    <row r="24" spans="1:11" ht="12.75">
      <c r="A24" t="s">
        <v>12</v>
      </c>
      <c r="B24" s="15">
        <f>SUM(C24:G24)</f>
        <v>240384.18</v>
      </c>
      <c r="C24" s="366">
        <v>0</v>
      </c>
      <c r="D24" s="233">
        <f>34356.16+206028.02</f>
        <v>240384.18</v>
      </c>
      <c r="E24" s="205">
        <v>0</v>
      </c>
      <c r="F24" s="205">
        <v>0</v>
      </c>
      <c r="G24" s="205">
        <v>0</v>
      </c>
      <c r="H24" s="42">
        <f t="shared" si="1"/>
        <v>100</v>
      </c>
      <c r="I24" s="210">
        <f>IF($B24&lt;&gt;0,(E24/$B24*100),(IF(E24&lt;&gt;0,1,0)))</f>
        <v>0</v>
      </c>
      <c r="J24" s="210">
        <f t="shared" si="4"/>
        <v>0</v>
      </c>
      <c r="K24" s="210">
        <f t="shared" si="4"/>
        <v>0</v>
      </c>
    </row>
    <row r="25" spans="1:11" ht="12.75">
      <c r="A25" t="s">
        <v>13</v>
      </c>
      <c r="B25" s="15">
        <f>SUM(C25:G25)</f>
        <v>7939446</v>
      </c>
      <c r="C25" s="233">
        <v>7939446</v>
      </c>
      <c r="D25" s="205">
        <v>0</v>
      </c>
      <c r="E25" s="205">
        <v>0</v>
      </c>
      <c r="F25" s="205">
        <v>0</v>
      </c>
      <c r="G25" s="205">
        <v>0</v>
      </c>
      <c r="H25" s="42">
        <f t="shared" si="1"/>
        <v>100</v>
      </c>
      <c r="I25" s="210">
        <f>IF($B25&lt;&gt;0,(E25/$B25*100),(IF(E25&lt;&gt;0,1,0)))</f>
        <v>0</v>
      </c>
      <c r="J25" s="210">
        <f t="shared" si="4"/>
        <v>0</v>
      </c>
      <c r="K25" s="210">
        <f t="shared" si="4"/>
        <v>0</v>
      </c>
    </row>
    <row r="26" spans="1:11" ht="12.75">
      <c r="A26" t="s">
        <v>14</v>
      </c>
      <c r="B26" s="15">
        <f>SUM(C26:G26)</f>
        <v>30279711</v>
      </c>
      <c r="C26" s="245">
        <v>30279711</v>
      </c>
      <c r="D26" s="205">
        <v>0</v>
      </c>
      <c r="E26" s="205">
        <v>0</v>
      </c>
      <c r="F26" s="205">
        <v>0</v>
      </c>
      <c r="G26" s="205">
        <v>0</v>
      </c>
      <c r="H26" s="42">
        <f t="shared" si="1"/>
        <v>100</v>
      </c>
      <c r="I26" s="210">
        <f>IF($B26&lt;&gt;0,(E26/$B26*100),(IF(E26&lt;&gt;0,1,0)))</f>
        <v>0</v>
      </c>
      <c r="J26" s="210">
        <f t="shared" si="4"/>
        <v>0</v>
      </c>
      <c r="K26" s="210">
        <f t="shared" si="4"/>
        <v>0</v>
      </c>
    </row>
    <row r="27" spans="1:11" ht="12.75">
      <c r="A27" t="s">
        <v>15</v>
      </c>
      <c r="B27" s="15">
        <f>SUM(C27:G27)</f>
        <v>0</v>
      </c>
      <c r="C27" s="205">
        <v>0</v>
      </c>
      <c r="D27" s="205">
        <v>0</v>
      </c>
      <c r="E27" s="205">
        <v>0</v>
      </c>
      <c r="F27" s="205">
        <v>0</v>
      </c>
      <c r="G27" s="205">
        <v>0</v>
      </c>
      <c r="H27" s="42">
        <f t="shared" si="1"/>
        <v>0</v>
      </c>
      <c r="I27" s="210">
        <f>IF($B27&lt;&gt;0,(E27/$B27*100),(IF(E27&lt;&gt;0,1,0)))</f>
        <v>0</v>
      </c>
      <c r="J27" s="210">
        <f t="shared" si="4"/>
        <v>0</v>
      </c>
      <c r="K27" s="210">
        <f t="shared" si="4"/>
        <v>0</v>
      </c>
    </row>
    <row r="28" spans="2:11" ht="12.75">
      <c r="B28" s="205"/>
      <c r="C28" s="205"/>
      <c r="D28" s="205"/>
      <c r="E28" s="205"/>
      <c r="F28" s="205"/>
      <c r="G28" s="205"/>
      <c r="H28" s="210"/>
      <c r="I28" s="210"/>
      <c r="J28" s="210"/>
      <c r="K28" s="210"/>
    </row>
    <row r="29" spans="1:11" ht="12.75">
      <c r="A29" t="s">
        <v>16</v>
      </c>
      <c r="B29" s="15">
        <f>SUM(C29:G29)</f>
        <v>99079860</v>
      </c>
      <c r="C29" s="233">
        <v>97138943</v>
      </c>
      <c r="D29" s="175">
        <v>1940917</v>
      </c>
      <c r="E29" s="205">
        <v>0</v>
      </c>
      <c r="F29" s="205">
        <v>0</v>
      </c>
      <c r="G29" s="205">
        <v>0</v>
      </c>
      <c r="H29" s="42">
        <f t="shared" si="1"/>
        <v>100</v>
      </c>
      <c r="I29" s="210">
        <f>IF($B29&lt;&gt;0,(E29/$B29*100),(IF(E29&lt;&gt;0,1,0)))</f>
        <v>0</v>
      </c>
      <c r="J29" s="210">
        <f aca="true" t="shared" si="5" ref="J29:K33">IF($B29&lt;&gt;0,(F29/$B29*100),(IF(F29&lt;&gt;0,1,0)))</f>
        <v>0</v>
      </c>
      <c r="K29" s="210">
        <f t="shared" si="5"/>
        <v>0</v>
      </c>
    </row>
    <row r="30" spans="1:11" ht="12.75">
      <c r="A30" t="s">
        <v>17</v>
      </c>
      <c r="B30" s="15">
        <f>SUM(C30:G30)</f>
        <v>37453717</v>
      </c>
      <c r="C30" s="233">
        <v>37453717</v>
      </c>
      <c r="D30" s="205">
        <v>0</v>
      </c>
      <c r="E30" s="205">
        <v>0</v>
      </c>
      <c r="F30" s="205">
        <v>0</v>
      </c>
      <c r="G30" s="205">
        <v>0</v>
      </c>
      <c r="H30" s="42">
        <f t="shared" si="1"/>
        <v>100</v>
      </c>
      <c r="I30" s="210">
        <f>IF($B30&lt;&gt;0,(E30/$B30*100),(IF(E30&lt;&gt;0,1,0)))</f>
        <v>0</v>
      </c>
      <c r="J30" s="210">
        <f t="shared" si="5"/>
        <v>0</v>
      </c>
      <c r="K30" s="210">
        <f t="shared" si="5"/>
        <v>0</v>
      </c>
    </row>
    <row r="31" spans="1:11" ht="12.75">
      <c r="A31" t="s">
        <v>18</v>
      </c>
      <c r="B31" s="15">
        <f>SUM(C31:G31)</f>
        <v>4950702</v>
      </c>
      <c r="C31" s="233">
        <v>4950702</v>
      </c>
      <c r="D31" s="205">
        <v>0</v>
      </c>
      <c r="E31" s="205">
        <v>0</v>
      </c>
      <c r="F31" s="205">
        <v>0</v>
      </c>
      <c r="G31" s="205">
        <v>0</v>
      </c>
      <c r="H31" s="42">
        <f t="shared" si="1"/>
        <v>100</v>
      </c>
      <c r="I31" s="210">
        <f>IF($B31&lt;&gt;0,(E31/$B31*100),(IF(E31&lt;&gt;0,1,0)))</f>
        <v>0</v>
      </c>
      <c r="J31" s="210">
        <f t="shared" si="5"/>
        <v>0</v>
      </c>
      <c r="K31" s="210">
        <f t="shared" si="5"/>
        <v>0</v>
      </c>
    </row>
    <row r="32" spans="1:11" ht="12.75">
      <c r="A32" t="s">
        <v>19</v>
      </c>
      <c r="B32" s="15">
        <f>SUM(C32:G32)</f>
        <v>6462007</v>
      </c>
      <c r="C32" s="233">
        <v>6462007</v>
      </c>
      <c r="D32" s="205">
        <v>0</v>
      </c>
      <c r="E32" s="205">
        <v>0</v>
      </c>
      <c r="F32" s="205">
        <v>0</v>
      </c>
      <c r="G32" s="205">
        <v>0</v>
      </c>
      <c r="H32" s="42">
        <f t="shared" si="1"/>
        <v>100</v>
      </c>
      <c r="I32" s="210">
        <f>IF($B32&lt;&gt;0,(E32/$B32*100),(IF(E32&lt;&gt;0,1,0)))</f>
        <v>0</v>
      </c>
      <c r="J32" s="210">
        <f t="shared" si="5"/>
        <v>0</v>
      </c>
      <c r="K32" s="210">
        <f t="shared" si="5"/>
        <v>0</v>
      </c>
    </row>
    <row r="33" spans="1:11" ht="12.75">
      <c r="A33" t="s">
        <v>20</v>
      </c>
      <c r="B33" s="15">
        <f>SUM(C33:G33)</f>
        <v>4281976</v>
      </c>
      <c r="C33" s="205">
        <v>0</v>
      </c>
      <c r="D33" s="205">
        <v>0</v>
      </c>
      <c r="E33" s="205">
        <v>0</v>
      </c>
      <c r="F33" s="205">
        <v>0</v>
      </c>
      <c r="G33" s="56">
        <v>4281976</v>
      </c>
      <c r="H33" s="42">
        <f t="shared" si="1"/>
        <v>0</v>
      </c>
      <c r="I33" s="210">
        <f>IF($B33&lt;&gt;0,(E33/$B33*100),(IF(E33&lt;&gt;0,1,0)))</f>
        <v>0</v>
      </c>
      <c r="J33" s="210">
        <f t="shared" si="5"/>
        <v>0</v>
      </c>
      <c r="K33" s="276">
        <f t="shared" si="5"/>
        <v>100</v>
      </c>
    </row>
    <row r="34" spans="2:11" ht="12.75">
      <c r="B34" s="205"/>
      <c r="C34" s="205"/>
      <c r="D34" s="205"/>
      <c r="E34" s="205"/>
      <c r="F34" s="205"/>
      <c r="G34" s="205"/>
      <c r="H34" s="210"/>
      <c r="I34" s="210"/>
      <c r="J34" s="210"/>
      <c r="K34" s="210"/>
    </row>
    <row r="35" spans="1:11" ht="12.75">
      <c r="A35" t="s">
        <v>21</v>
      </c>
      <c r="B35" s="15">
        <f>SUM(C35:G35)</f>
        <v>2028299</v>
      </c>
      <c r="C35" s="233">
        <v>2028299</v>
      </c>
      <c r="D35" s="205">
        <v>0</v>
      </c>
      <c r="E35" s="205">
        <v>0</v>
      </c>
      <c r="F35" s="205">
        <v>0</v>
      </c>
      <c r="G35" s="205">
        <v>0</v>
      </c>
      <c r="H35" s="42">
        <f t="shared" si="1"/>
        <v>100</v>
      </c>
      <c r="I35" s="210">
        <f>IF($B35&lt;&gt;0,(E35/$B35*100),(IF(E35&lt;&gt;0,1,0)))</f>
        <v>0</v>
      </c>
      <c r="J35" s="210">
        <f aca="true" t="shared" si="6" ref="J35:K38">IF($B35&lt;&gt;0,(F35/$B35*100),(IF(F35&lt;&gt;0,1,0)))</f>
        <v>0</v>
      </c>
      <c r="K35" s="210">
        <f t="shared" si="6"/>
        <v>0</v>
      </c>
    </row>
    <row r="36" spans="1:11" ht="12.75">
      <c r="A36" t="s">
        <v>22</v>
      </c>
      <c r="B36" s="15">
        <f>SUM(C36:F36)</f>
        <v>5420975</v>
      </c>
      <c r="C36" s="56">
        <v>5420975</v>
      </c>
      <c r="D36" s="366">
        <v>0</v>
      </c>
      <c r="E36" s="205">
        <v>0</v>
      </c>
      <c r="F36" s="205">
        <v>0</v>
      </c>
      <c r="G36" s="366">
        <v>0</v>
      </c>
      <c r="H36" s="42">
        <f t="shared" si="1"/>
        <v>100</v>
      </c>
      <c r="I36" s="210">
        <f>IF($B36&lt;&gt;0,(E36/$B36*100),(IF(E36&lt;&gt;0,1,0)))</f>
        <v>0</v>
      </c>
      <c r="J36" s="210">
        <f t="shared" si="6"/>
        <v>0</v>
      </c>
      <c r="K36" s="162">
        <f>IF($B36&lt;&gt;0,(C36/$B36*100),(IF(C36&lt;&gt;0,1,0)))</f>
        <v>100</v>
      </c>
    </row>
    <row r="37" spans="1:11" ht="12.75">
      <c r="A37" t="s">
        <v>23</v>
      </c>
      <c r="B37" s="15">
        <f>SUM(C37:G37)</f>
        <v>6787117</v>
      </c>
      <c r="C37" s="233">
        <v>6787117</v>
      </c>
      <c r="D37" s="205">
        <v>0</v>
      </c>
      <c r="E37" s="205">
        <v>0</v>
      </c>
      <c r="F37" s="205">
        <v>0</v>
      </c>
      <c r="G37" s="205">
        <v>0</v>
      </c>
      <c r="H37" s="42">
        <f t="shared" si="1"/>
        <v>100</v>
      </c>
      <c r="I37" s="210">
        <f>IF($B37&lt;&gt;0,(E37/$B37*100),(IF(E37&lt;&gt;0,1,0)))</f>
        <v>0</v>
      </c>
      <c r="J37" s="210">
        <f t="shared" si="6"/>
        <v>0</v>
      </c>
      <c r="K37" s="210">
        <f t="shared" si="6"/>
        <v>0</v>
      </c>
    </row>
    <row r="38" spans="1:11" ht="12.75">
      <c r="A38" s="14" t="s">
        <v>24</v>
      </c>
      <c r="B38" s="381">
        <f>SUM(C38:G38)</f>
        <v>3410323</v>
      </c>
      <c r="C38" s="351">
        <v>3410323</v>
      </c>
      <c r="D38" s="382">
        <v>0</v>
      </c>
      <c r="E38" s="382">
        <v>0</v>
      </c>
      <c r="F38" s="382">
        <v>0</v>
      </c>
      <c r="G38" s="382">
        <v>0</v>
      </c>
      <c r="H38" s="273">
        <f t="shared" si="1"/>
        <v>100</v>
      </c>
      <c r="I38" s="213">
        <f>IF($B38&lt;&gt;0,(E38/$B38*100),(IF(E38&lt;&gt;0,1,0)))</f>
        <v>0</v>
      </c>
      <c r="J38" s="213">
        <f t="shared" si="6"/>
        <v>0</v>
      </c>
      <c r="K38" s="213">
        <f t="shared" si="6"/>
        <v>0</v>
      </c>
    </row>
    <row r="39" spans="1:11" ht="12.75">
      <c r="A39" t="s">
        <v>332</v>
      </c>
      <c r="D39" s="1"/>
      <c r="H39" s="20"/>
      <c r="I39" s="16"/>
      <c r="J39" s="16"/>
      <c r="K39" s="16"/>
    </row>
    <row r="40" spans="1:4" ht="12.75">
      <c r="A40" s="23" t="s">
        <v>333</v>
      </c>
      <c r="D40" s="1"/>
    </row>
    <row r="41" spans="1:4" ht="12.75">
      <c r="A41" s="62" t="s">
        <v>330</v>
      </c>
      <c r="D41" s="1"/>
    </row>
    <row r="42" spans="1:4" ht="12.75">
      <c r="A42" t="s">
        <v>331</v>
      </c>
      <c r="C42" s="246"/>
      <c r="D42" s="1"/>
    </row>
    <row r="43" ht="12.75">
      <c r="D43" s="1"/>
    </row>
  </sheetData>
  <sheetProtection password="CAF5" sheet="1" objects="1" scenarios="1"/>
  <mergeCells count="6">
    <mergeCell ref="A1:K1"/>
    <mergeCell ref="A3:K3"/>
    <mergeCell ref="C7:D7"/>
    <mergeCell ref="A4:J4"/>
    <mergeCell ref="C6:F6"/>
    <mergeCell ref="H6:K6"/>
  </mergeCells>
  <printOptions horizontalCentered="1"/>
  <pageMargins left="0.59" right="0.59" top="0.83" bottom="1" header="0.67" footer="0.5"/>
  <pageSetup fitToHeight="1" fitToWidth="1" horizontalDpi="600" verticalDpi="600" orientation="landscape" scale="91" r:id="rId1"/>
  <headerFooter alignWithMargins="0">
    <oddFooter>&amp;L&amp;"Arial,Italic"&amp;9MSDE-DBS   12 / 2007&amp;C- 5 -&amp;R&amp;"Arial,Italic"&amp;9Selected Financial Data-Part 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7"/>
  <sheetViews>
    <sheetView workbookViewId="0" topLeftCell="C1">
      <selection activeCell="F31" sqref="F31"/>
    </sheetView>
  </sheetViews>
  <sheetFormatPr defaultColWidth="9.140625" defaultRowHeight="12.75"/>
  <cols>
    <col min="1" max="1" width="14.140625" style="0" customWidth="1"/>
    <col min="2" max="3" width="13.421875" style="0" bestFit="1" customWidth="1"/>
    <col min="4" max="4" width="12.28125" style="0" customWidth="1"/>
    <col min="5" max="5" width="14.7109375" style="0" bestFit="1" customWidth="1"/>
    <col min="6" max="6" width="12.28125" style="0" bestFit="1" customWidth="1"/>
    <col min="7" max="7" width="11.28125" style="0" bestFit="1" customWidth="1"/>
    <col min="8" max="8" width="13.421875" style="0" bestFit="1" customWidth="1"/>
    <col min="9" max="9" width="13.140625" style="0" bestFit="1" customWidth="1"/>
    <col min="10" max="10" width="0.85546875" style="0" customWidth="1"/>
    <col min="11" max="11" width="13.28125" style="44" customWidth="1"/>
    <col min="12" max="12" width="1.1484375" style="0" customWidth="1"/>
    <col min="13" max="13" width="8.8515625" style="0" customWidth="1"/>
    <col min="14" max="14" width="7.8515625" style="0" customWidth="1"/>
    <col min="15" max="15" width="8.7109375" style="0" customWidth="1"/>
    <col min="16" max="16" width="8.421875" style="0" customWidth="1"/>
    <col min="18" max="18" width="11.28125" style="0" bestFit="1" customWidth="1"/>
  </cols>
  <sheetData>
    <row r="1" spans="1:16" ht="12.75">
      <c r="A1" s="452" t="s">
        <v>111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78"/>
      <c r="L2" s="39"/>
      <c r="M2" s="39"/>
      <c r="N2" s="39"/>
      <c r="O2" s="39"/>
      <c r="P2" s="39"/>
    </row>
    <row r="3" spans="1:16" ht="12.75">
      <c r="A3" s="452" t="s">
        <v>261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1:16" ht="12.75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</row>
    <row r="5" spans="1:16" ht="13.5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78"/>
      <c r="L5" s="39"/>
      <c r="M5" s="79"/>
      <c r="N5" s="79"/>
      <c r="O5" s="79"/>
      <c r="P5" s="79"/>
    </row>
    <row r="6" spans="1:42" ht="15" customHeight="1" thickTop="1">
      <c r="A6" s="80"/>
      <c r="B6" s="81"/>
      <c r="C6" s="440" t="s">
        <v>102</v>
      </c>
      <c r="D6" s="440"/>
      <c r="E6" s="440"/>
      <c r="F6" s="440"/>
      <c r="G6" s="440"/>
      <c r="H6" s="440"/>
      <c r="I6" s="440"/>
      <c r="J6" s="440"/>
      <c r="K6" s="460" t="s">
        <v>372</v>
      </c>
      <c r="L6" s="80"/>
      <c r="M6" s="438"/>
      <c r="N6" s="438"/>
      <c r="O6" s="438"/>
      <c r="P6" s="43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16" ht="12.75" customHeight="1">
      <c r="A7" s="69" t="s">
        <v>99</v>
      </c>
      <c r="B7" s="82" t="s">
        <v>52</v>
      </c>
      <c r="C7" s="463" t="s">
        <v>99</v>
      </c>
      <c r="D7" s="463"/>
      <c r="E7" s="463"/>
      <c r="F7" s="463"/>
      <c r="G7" s="441" t="s">
        <v>53</v>
      </c>
      <c r="H7" s="437" t="s">
        <v>65</v>
      </c>
      <c r="I7" s="437"/>
      <c r="J7" s="82"/>
      <c r="K7" s="461"/>
      <c r="L7" s="82"/>
      <c r="M7" s="439" t="s">
        <v>104</v>
      </c>
      <c r="N7" s="439"/>
      <c r="O7" s="439"/>
      <c r="P7" s="439"/>
    </row>
    <row r="8" spans="1:16" ht="12.75">
      <c r="A8" s="69" t="s">
        <v>41</v>
      </c>
      <c r="B8" s="82" t="s">
        <v>105</v>
      </c>
      <c r="C8" s="82" t="s">
        <v>112</v>
      </c>
      <c r="D8" s="82" t="s">
        <v>47</v>
      </c>
      <c r="E8" s="82" t="s">
        <v>232</v>
      </c>
      <c r="F8" s="82"/>
      <c r="G8" s="431"/>
      <c r="H8" s="82" t="s">
        <v>122</v>
      </c>
      <c r="I8" s="82" t="s">
        <v>157</v>
      </c>
      <c r="J8" s="82"/>
      <c r="K8" s="461"/>
      <c r="L8" s="82"/>
      <c r="M8" s="83"/>
      <c r="N8" s="83"/>
      <c r="O8" s="83"/>
      <c r="P8" s="83" t="s">
        <v>101</v>
      </c>
    </row>
    <row r="9" spans="1:16" ht="13.5" thickBot="1">
      <c r="A9" s="84" t="s">
        <v>143</v>
      </c>
      <c r="B9" s="85" t="s">
        <v>106</v>
      </c>
      <c r="C9" s="86" t="s">
        <v>113</v>
      </c>
      <c r="D9" s="86" t="s">
        <v>114</v>
      </c>
      <c r="E9" s="86" t="s">
        <v>233</v>
      </c>
      <c r="F9" s="86" t="s">
        <v>123</v>
      </c>
      <c r="G9" s="432"/>
      <c r="H9" s="85" t="s">
        <v>113</v>
      </c>
      <c r="I9" s="85" t="s">
        <v>94</v>
      </c>
      <c r="J9" s="85"/>
      <c r="K9" s="462"/>
      <c r="L9" s="86"/>
      <c r="M9" s="87" t="s">
        <v>99</v>
      </c>
      <c r="N9" s="87" t="s">
        <v>53</v>
      </c>
      <c r="O9" s="87" t="s">
        <v>65</v>
      </c>
      <c r="P9" s="87" t="s">
        <v>103</v>
      </c>
    </row>
    <row r="10" spans="1:18" ht="12.75">
      <c r="A10" s="69" t="s">
        <v>0</v>
      </c>
      <c r="B10" s="198">
        <f aca="true" t="shared" si="0" ref="B10:I10">SUM(B12:B39)</f>
        <v>285652495.03000003</v>
      </c>
      <c r="C10" s="198">
        <f t="shared" si="0"/>
        <v>105309759.11</v>
      </c>
      <c r="D10" s="198">
        <f t="shared" si="0"/>
        <v>18778979.99</v>
      </c>
      <c r="E10" s="198">
        <f>SUM(E12:E39)</f>
        <v>1385037.5399999998</v>
      </c>
      <c r="F10" s="198">
        <f>SUM(F12:F39)</f>
        <v>23930548.86</v>
      </c>
      <c r="G10" s="198">
        <f>SUM(G12:G39)</f>
        <v>5956129.91</v>
      </c>
      <c r="H10" s="198">
        <f t="shared" si="0"/>
        <v>119549003.09000002</v>
      </c>
      <c r="I10" s="198">
        <f t="shared" si="0"/>
        <v>10702177.139999999</v>
      </c>
      <c r="J10" s="198"/>
      <c r="K10" s="294">
        <f>SUM(K12:K39)</f>
        <v>40859.39</v>
      </c>
      <c r="L10" s="75"/>
      <c r="M10" s="89">
        <f>SUM(C10:F10)/B10*100</f>
        <v>52.30282532078326</v>
      </c>
      <c r="N10" s="89">
        <f>+G10/B10*100</f>
        <v>2.0850964068682374</v>
      </c>
      <c r="O10" s="89">
        <f>(+H10+I10)/B10*100</f>
        <v>45.597774392385645</v>
      </c>
      <c r="P10" s="89">
        <f>+K10/B10*100</f>
        <v>0.014303879962857959</v>
      </c>
      <c r="R10" s="72"/>
    </row>
    <row r="11" spans="1:18" ht="12.75">
      <c r="A11" s="69"/>
      <c r="B11" s="76"/>
      <c r="C11" s="74"/>
      <c r="D11" s="74"/>
      <c r="E11" s="74"/>
      <c r="F11" s="74"/>
      <c r="G11" s="73"/>
      <c r="H11" s="76"/>
      <c r="I11" s="77"/>
      <c r="J11" s="77"/>
      <c r="K11" s="88"/>
      <c r="L11" s="74"/>
      <c r="M11" s="89"/>
      <c r="N11" s="89"/>
      <c r="O11" s="89"/>
      <c r="P11" s="89"/>
      <c r="R11" s="48"/>
    </row>
    <row r="12" spans="1:18" ht="12.75">
      <c r="A12" s="39" t="s">
        <v>1</v>
      </c>
      <c r="B12" s="77">
        <f>SUM(C12:K12)</f>
        <v>4438596.84</v>
      </c>
      <c r="C12" s="77">
        <v>1167239.72</v>
      </c>
      <c r="D12" s="77">
        <v>827313.59</v>
      </c>
      <c r="E12" s="369">
        <v>0</v>
      </c>
      <c r="F12" s="369">
        <v>0</v>
      </c>
      <c r="G12" s="73">
        <v>141535.46</v>
      </c>
      <c r="H12" s="77">
        <v>2065858.18</v>
      </c>
      <c r="I12" s="77">
        <v>211081.79</v>
      </c>
      <c r="J12" s="369"/>
      <c r="K12" s="389">
        <v>25568.1</v>
      </c>
      <c r="L12" s="219"/>
      <c r="M12" s="89">
        <f>SUM(C12:F12)/B12*100</f>
        <v>44.93657301842264</v>
      </c>
      <c r="N12" s="89">
        <f>+G12/B12*100</f>
        <v>3.1887433146552686</v>
      </c>
      <c r="O12" s="89">
        <f>(+H12+I12)/B12*100</f>
        <v>51.29864351455717</v>
      </c>
      <c r="P12" s="89">
        <f aca="true" t="shared" si="1" ref="P12:P39">+K12/B12*100</f>
        <v>0.5760401523649081</v>
      </c>
      <c r="Q12" s="45"/>
      <c r="R12" s="71"/>
    </row>
    <row r="13" spans="1:18" ht="12.75">
      <c r="A13" s="39" t="s">
        <v>2</v>
      </c>
      <c r="B13" s="77">
        <f>SUM(C13:K13)</f>
        <v>18777122</v>
      </c>
      <c r="C13" s="77">
        <v>11404607</v>
      </c>
      <c r="D13" s="77">
        <v>144795</v>
      </c>
      <c r="E13" s="77">
        <v>231091</v>
      </c>
      <c r="F13" s="77">
        <v>6268</v>
      </c>
      <c r="G13" s="73">
        <v>331934</v>
      </c>
      <c r="H13" s="77">
        <v>5860480</v>
      </c>
      <c r="I13" s="77">
        <v>797947</v>
      </c>
      <c r="J13" s="369"/>
      <c r="K13" s="396"/>
      <c r="L13" s="222"/>
      <c r="M13" s="89">
        <f>SUM(C13:F13)/B13*100</f>
        <v>62.771925324871404</v>
      </c>
      <c r="N13" s="89">
        <f aca="true" t="shared" si="2" ref="N13:N39">+G13/B13*100</f>
        <v>1.7677575935225855</v>
      </c>
      <c r="O13" s="89">
        <f aca="true" t="shared" si="3" ref="O13:O39">(+H13+I13)/B13*100</f>
        <v>35.46031708160601</v>
      </c>
      <c r="P13" s="89">
        <f t="shared" si="1"/>
        <v>0</v>
      </c>
      <c r="Q13" s="45"/>
      <c r="R13" s="71"/>
    </row>
    <row r="14" spans="1:18" ht="12.75">
      <c r="A14" s="39" t="s">
        <v>3</v>
      </c>
      <c r="B14" s="77">
        <f>SUM(C14:K14)</f>
        <v>29331880.38</v>
      </c>
      <c r="C14" s="370">
        <v>0</v>
      </c>
      <c r="D14" s="229">
        <v>3049844.06</v>
      </c>
      <c r="E14" s="370">
        <v>0</v>
      </c>
      <c r="F14" s="115">
        <v>0</v>
      </c>
      <c r="G14" s="73">
        <v>945892.66</v>
      </c>
      <c r="H14" s="77">
        <v>25336143.66</v>
      </c>
      <c r="I14" s="369">
        <v>0</v>
      </c>
      <c r="J14" s="369"/>
      <c r="K14" s="389">
        <v>0</v>
      </c>
      <c r="L14" s="222"/>
      <c r="M14" s="89">
        <f>SUM(C14:F14)/B14*100</f>
        <v>10.39771068369535</v>
      </c>
      <c r="N14" s="89">
        <f t="shared" si="2"/>
        <v>3.2247938002807306</v>
      </c>
      <c r="O14" s="89">
        <f t="shared" si="3"/>
        <v>86.37749551602393</v>
      </c>
      <c r="P14" s="89">
        <f t="shared" si="1"/>
        <v>0</v>
      </c>
      <c r="Q14" s="45"/>
      <c r="R14" s="71"/>
    </row>
    <row r="15" spans="1:18" ht="12.75">
      <c r="A15" s="39" t="s">
        <v>4</v>
      </c>
      <c r="B15" s="77">
        <f>SUM(C15:K15)</f>
        <v>33817184</v>
      </c>
      <c r="C15" s="77">
        <v>10316361</v>
      </c>
      <c r="D15" s="77">
        <v>6648407</v>
      </c>
      <c r="E15" s="77">
        <v>765</v>
      </c>
      <c r="F15" s="77">
        <v>82587</v>
      </c>
      <c r="G15" s="73">
        <v>821289</v>
      </c>
      <c r="H15" s="77">
        <v>14243289</v>
      </c>
      <c r="I15" s="77">
        <v>1704486</v>
      </c>
      <c r="J15" s="369"/>
      <c r="K15" s="389">
        <v>0</v>
      </c>
      <c r="L15" s="222"/>
      <c r="M15" s="89">
        <f>SUM(C15:F15)/B15*100</f>
        <v>50.41259496946877</v>
      </c>
      <c r="N15" s="89">
        <f t="shared" si="2"/>
        <v>2.4286143991173246</v>
      </c>
      <c r="O15" s="89">
        <f t="shared" si="3"/>
        <v>47.1587906314139</v>
      </c>
      <c r="P15" s="89">
        <f t="shared" si="1"/>
        <v>0</v>
      </c>
      <c r="Q15" s="45"/>
      <c r="R15" s="71"/>
    </row>
    <row r="16" spans="1:18" ht="12.75">
      <c r="A16" s="39" t="s">
        <v>5</v>
      </c>
      <c r="B16" s="77">
        <f>SUM(C16:K16)</f>
        <v>5296536.800000001</v>
      </c>
      <c r="C16" s="77">
        <v>1361536.05</v>
      </c>
      <c r="D16" s="369">
        <v>0</v>
      </c>
      <c r="E16" s="73">
        <v>46772.36</v>
      </c>
      <c r="F16" s="229">
        <v>2764684.02</v>
      </c>
      <c r="G16" s="73">
        <v>34773.84</v>
      </c>
      <c r="H16" s="77">
        <v>877490.32</v>
      </c>
      <c r="I16" s="77">
        <v>211280.21</v>
      </c>
      <c r="J16" s="369"/>
      <c r="K16" s="394">
        <v>0</v>
      </c>
      <c r="L16" s="222"/>
      <c r="M16" s="89">
        <f>SUM(C16:F16)/B16*100</f>
        <v>78.78718845114037</v>
      </c>
      <c r="N16" s="89">
        <f t="shared" si="2"/>
        <v>0.656539193685957</v>
      </c>
      <c r="O16" s="89">
        <f t="shared" si="3"/>
        <v>20.556272355173665</v>
      </c>
      <c r="P16" s="89">
        <f t="shared" si="1"/>
        <v>0</v>
      </c>
      <c r="Q16" s="45"/>
      <c r="R16" s="71"/>
    </row>
    <row r="17" spans="1:18" ht="12.75">
      <c r="A17" s="39"/>
      <c r="B17" s="77"/>
      <c r="C17" s="369"/>
      <c r="D17" s="369"/>
      <c r="E17" s="369"/>
      <c r="F17" s="115"/>
      <c r="G17" s="115"/>
      <c r="H17" s="369"/>
      <c r="I17" s="369"/>
      <c r="J17" s="369"/>
      <c r="K17" s="394"/>
      <c r="L17" s="222"/>
      <c r="M17" s="89"/>
      <c r="N17" s="89"/>
      <c r="O17" s="89"/>
      <c r="P17" s="89"/>
      <c r="R17" s="43"/>
    </row>
    <row r="18" spans="1:18" ht="12.75">
      <c r="A18" s="39" t="s">
        <v>6</v>
      </c>
      <c r="B18" s="77">
        <f>SUM(C18:K18)</f>
        <v>2084367.58</v>
      </c>
      <c r="C18" s="77">
        <v>988228.16</v>
      </c>
      <c r="D18" s="370">
        <v>0</v>
      </c>
      <c r="E18" s="73">
        <v>4416.12</v>
      </c>
      <c r="F18" s="77">
        <v>9268.34</v>
      </c>
      <c r="G18" s="73">
        <v>47621.39</v>
      </c>
      <c r="H18" s="77">
        <v>1024248.28</v>
      </c>
      <c r="I18" s="369">
        <v>0</v>
      </c>
      <c r="J18" s="369"/>
      <c r="K18" s="389">
        <v>10585.29</v>
      </c>
      <c r="L18" s="222"/>
      <c r="M18" s="89">
        <f>SUM(C18:E18)/B18*100</f>
        <v>47.62328341337951</v>
      </c>
      <c r="N18" s="89">
        <f t="shared" si="2"/>
        <v>2.284692510905394</v>
      </c>
      <c r="O18" s="89">
        <f t="shared" si="3"/>
        <v>49.13952269397704</v>
      </c>
      <c r="P18" s="89">
        <f t="shared" si="1"/>
        <v>0.5078418078254701</v>
      </c>
      <c r="Q18" s="45"/>
      <c r="R18" s="71"/>
    </row>
    <row r="19" spans="1:18" ht="12.75">
      <c r="A19" s="39" t="s">
        <v>7</v>
      </c>
      <c r="B19" s="77">
        <f>SUM(C19:K19)</f>
        <v>6283829</v>
      </c>
      <c r="C19" s="77">
        <v>3371108.51</v>
      </c>
      <c r="D19" s="77">
        <v>1035124.92</v>
      </c>
      <c r="E19" s="388">
        <v>35171.03</v>
      </c>
      <c r="F19" s="389">
        <v>37328.49</v>
      </c>
      <c r="G19" s="73">
        <v>46633</v>
      </c>
      <c r="H19" s="77">
        <v>1355312</v>
      </c>
      <c r="I19" s="77">
        <v>403151.05</v>
      </c>
      <c r="J19" s="369"/>
      <c r="K19" s="394">
        <v>0</v>
      </c>
      <c r="L19" s="222"/>
      <c r="M19" s="89">
        <f>SUM(C19:E19)/B19*100</f>
        <v>70.6799064710386</v>
      </c>
      <c r="N19" s="89">
        <f t="shared" si="2"/>
        <v>0.7421112191308834</v>
      </c>
      <c r="O19" s="89">
        <f t="shared" si="3"/>
        <v>27.983941797270422</v>
      </c>
      <c r="P19" s="89">
        <f>+F19/B19*100</f>
        <v>0.5940405125600966</v>
      </c>
      <c r="Q19" s="45"/>
      <c r="R19" s="71"/>
    </row>
    <row r="20" spans="1:18" ht="12.75">
      <c r="A20" s="39" t="s">
        <v>8</v>
      </c>
      <c r="B20" s="77">
        <f>SUM(C20:K20)</f>
        <v>5075779.82</v>
      </c>
      <c r="C20" s="77">
        <v>2335167.57</v>
      </c>
      <c r="D20" s="77">
        <v>42100.71</v>
      </c>
      <c r="E20" s="77">
        <v>85201.82</v>
      </c>
      <c r="F20" s="73">
        <v>290284.11</v>
      </c>
      <c r="G20" s="73">
        <v>176780.68</v>
      </c>
      <c r="H20" s="77">
        <v>2146244.93</v>
      </c>
      <c r="I20" s="369">
        <v>0</v>
      </c>
      <c r="J20" s="369"/>
      <c r="K20" s="389">
        <v>0</v>
      </c>
      <c r="L20" s="222"/>
      <c r="M20" s="89">
        <f>SUM(C20:F20)/B20*100</f>
        <v>54.233128851519005</v>
      </c>
      <c r="N20" s="89">
        <f t="shared" si="2"/>
        <v>3.4828279844494907</v>
      </c>
      <c r="O20" s="89">
        <f t="shared" si="3"/>
        <v>42.284043164031495</v>
      </c>
      <c r="P20" s="89">
        <f t="shared" si="1"/>
        <v>0</v>
      </c>
      <c r="Q20" s="45"/>
      <c r="R20" s="71"/>
    </row>
    <row r="21" spans="1:18" ht="12.75">
      <c r="A21" s="39" t="s">
        <v>234</v>
      </c>
      <c r="B21" s="77">
        <f>SUM(C21:K21)</f>
        <v>8417035.82</v>
      </c>
      <c r="C21" s="77">
        <v>4563573.91</v>
      </c>
      <c r="D21" s="77">
        <v>380231.2</v>
      </c>
      <c r="E21" s="77">
        <v>48004.6</v>
      </c>
      <c r="F21" s="73">
        <f>79361.74+232432.55</f>
        <v>311794.29</v>
      </c>
      <c r="G21" s="73">
        <v>135696.89</v>
      </c>
      <c r="H21" s="77">
        <v>2605171.84</v>
      </c>
      <c r="I21" s="77">
        <v>372563.09</v>
      </c>
      <c r="J21" s="369"/>
      <c r="K21" s="115">
        <v>0</v>
      </c>
      <c r="L21" s="222"/>
      <c r="M21" s="89">
        <f>SUM(C21:F21)/B21*100</f>
        <v>63.01035321006867</v>
      </c>
      <c r="N21" s="89">
        <f t="shared" si="2"/>
        <v>1.6121695677897212</v>
      </c>
      <c r="O21" s="89">
        <f t="shared" si="3"/>
        <v>35.3774772221416</v>
      </c>
      <c r="P21" s="89">
        <f t="shared" si="1"/>
        <v>0</v>
      </c>
      <c r="Q21" s="45"/>
      <c r="R21" s="71"/>
    </row>
    <row r="22" spans="1:18" ht="12.75">
      <c r="A22" s="39" t="s">
        <v>10</v>
      </c>
      <c r="B22" s="77">
        <f>SUM(C22:K22)</f>
        <v>1979116</v>
      </c>
      <c r="C22" s="77">
        <v>760653</v>
      </c>
      <c r="D22" s="77">
        <v>13971</v>
      </c>
      <c r="E22" s="73">
        <v>16715</v>
      </c>
      <c r="F22" s="390"/>
      <c r="G22" s="114">
        <v>63731</v>
      </c>
      <c r="H22" s="77">
        <v>1040746</v>
      </c>
      <c r="I22" s="77">
        <v>83300</v>
      </c>
      <c r="J22" s="369"/>
      <c r="K22" s="115">
        <v>0</v>
      </c>
      <c r="L22" s="222"/>
      <c r="M22" s="89">
        <f>SUM(C22:E22)/B22*100</f>
        <v>39.984467812902324</v>
      </c>
      <c r="N22" s="89">
        <f t="shared" si="2"/>
        <v>3.2201750680606898</v>
      </c>
      <c r="O22" s="89">
        <f t="shared" si="3"/>
        <v>56.79535711903698</v>
      </c>
      <c r="P22" s="89">
        <f t="shared" si="1"/>
        <v>0</v>
      </c>
      <c r="Q22" s="45"/>
      <c r="R22" s="71"/>
    </row>
    <row r="23" spans="1:18" ht="12.75">
      <c r="A23" s="39"/>
      <c r="B23" s="77"/>
      <c r="C23" s="369"/>
      <c r="D23" s="369"/>
      <c r="E23" s="369"/>
      <c r="F23" s="115"/>
      <c r="G23" s="115"/>
      <c r="H23" s="369"/>
      <c r="I23" s="369"/>
      <c r="J23" s="369"/>
      <c r="K23" s="390"/>
      <c r="L23" s="222"/>
      <c r="M23" s="89"/>
      <c r="N23" s="89"/>
      <c r="O23" s="89"/>
      <c r="P23" s="89"/>
      <c r="R23" s="43"/>
    </row>
    <row r="24" spans="1:18" ht="12.75">
      <c r="A24" s="39" t="s">
        <v>11</v>
      </c>
      <c r="B24" s="77">
        <f>SUM(C24:K24)</f>
        <v>9653981</v>
      </c>
      <c r="C24" s="77">
        <v>6419156</v>
      </c>
      <c r="D24" s="77">
        <v>183762</v>
      </c>
      <c r="E24" s="73">
        <v>1244</v>
      </c>
      <c r="F24" s="391">
        <v>23199</v>
      </c>
      <c r="G24" s="73">
        <v>130349</v>
      </c>
      <c r="H24" s="77">
        <v>2487352</v>
      </c>
      <c r="I24" s="77">
        <v>408919</v>
      </c>
      <c r="J24" s="369"/>
      <c r="K24" s="115">
        <v>0</v>
      </c>
      <c r="L24" s="222"/>
      <c r="M24" s="89">
        <f>SUM(C24:E24)/B24*100</f>
        <v>68.40869067382668</v>
      </c>
      <c r="N24" s="89">
        <f t="shared" si="2"/>
        <v>1.3502098253559853</v>
      </c>
      <c r="O24" s="89">
        <f t="shared" si="3"/>
        <v>30.000794490894485</v>
      </c>
      <c r="P24" s="89">
        <f>+F24/B24*100</f>
        <v>0.24030500992284942</v>
      </c>
      <c r="Q24" s="45"/>
      <c r="R24" s="71"/>
    </row>
    <row r="25" spans="1:18" ht="12.75">
      <c r="A25" s="39" t="s">
        <v>12</v>
      </c>
      <c r="B25" s="77">
        <f>SUM(C25:K25)</f>
        <v>2205790</v>
      </c>
      <c r="C25" s="77">
        <v>439256</v>
      </c>
      <c r="D25" s="77">
        <v>678052</v>
      </c>
      <c r="E25" s="73">
        <v>6671</v>
      </c>
      <c r="F25" s="115">
        <v>0</v>
      </c>
      <c r="G25" s="73">
        <v>88278</v>
      </c>
      <c r="H25" s="77">
        <v>879536</v>
      </c>
      <c r="I25" s="77">
        <v>109291</v>
      </c>
      <c r="J25" s="369"/>
      <c r="K25" s="73">
        <v>4706</v>
      </c>
      <c r="L25" s="222"/>
      <c r="M25" s="89">
        <f>SUM(C25:E25)/B25*100</f>
        <v>50.95584801817036</v>
      </c>
      <c r="N25" s="89">
        <f t="shared" si="2"/>
        <v>4.002103554735491</v>
      </c>
      <c r="O25" s="89">
        <f t="shared" si="3"/>
        <v>44.82870082827468</v>
      </c>
      <c r="P25" s="89">
        <f t="shared" si="1"/>
        <v>0.21334759881947057</v>
      </c>
      <c r="Q25" s="45"/>
      <c r="R25" s="71"/>
    </row>
    <row r="26" spans="1:18" ht="12.75">
      <c r="A26" s="39" t="s">
        <v>13</v>
      </c>
      <c r="B26" s="77">
        <f>SUM(C26:K26)</f>
        <v>12660302</v>
      </c>
      <c r="C26" s="77">
        <v>7666372</v>
      </c>
      <c r="D26" s="369">
        <v>0</v>
      </c>
      <c r="E26" s="73">
        <v>111891</v>
      </c>
      <c r="F26" s="392"/>
      <c r="G26" s="73">
        <v>257235</v>
      </c>
      <c r="H26" s="77">
        <v>4624804</v>
      </c>
      <c r="I26" s="369">
        <v>0</v>
      </c>
      <c r="J26" s="369"/>
      <c r="K26" s="394">
        <v>0</v>
      </c>
      <c r="L26" s="222"/>
      <c r="M26" s="89">
        <f>SUM(C26:E26)/B26*100</f>
        <v>61.43821055769444</v>
      </c>
      <c r="N26" s="89">
        <f t="shared" si="2"/>
        <v>2.0318235694535565</v>
      </c>
      <c r="O26" s="89">
        <f t="shared" si="3"/>
        <v>36.529965872852</v>
      </c>
      <c r="P26" s="89">
        <f t="shared" si="1"/>
        <v>0</v>
      </c>
      <c r="Q26" s="45"/>
      <c r="R26" s="71"/>
    </row>
    <row r="27" spans="1:18" ht="12.75">
      <c r="A27" s="39" t="s">
        <v>14</v>
      </c>
      <c r="B27" s="77">
        <f>SUM(C27:K27)</f>
        <v>12489393.919999998</v>
      </c>
      <c r="C27" s="77">
        <v>7650480.87</v>
      </c>
      <c r="D27" s="77">
        <v>0</v>
      </c>
      <c r="E27" s="73">
        <v>34518.28</v>
      </c>
      <c r="F27" s="73">
        <v>1439792.95</v>
      </c>
      <c r="G27" s="73">
        <v>80836.37</v>
      </c>
      <c r="H27" s="77">
        <v>2445180.66</v>
      </c>
      <c r="I27" s="77">
        <v>838584.79</v>
      </c>
      <c r="J27" s="369"/>
      <c r="K27" s="394">
        <v>0</v>
      </c>
      <c r="L27" s="222"/>
      <c r="M27" s="89">
        <f>SUM(C27:E27)/B27*100</f>
        <v>61.53220243692979</v>
      </c>
      <c r="N27" s="89">
        <f t="shared" si="2"/>
        <v>0.6472401344516164</v>
      </c>
      <c r="O27" s="89">
        <f t="shared" si="3"/>
        <v>26.292432371289966</v>
      </c>
      <c r="P27" s="89">
        <f t="shared" si="1"/>
        <v>0</v>
      </c>
      <c r="Q27" s="45"/>
      <c r="R27" s="71"/>
    </row>
    <row r="28" spans="1:18" ht="12.75">
      <c r="A28" s="39" t="s">
        <v>15</v>
      </c>
      <c r="B28" s="77">
        <f>SUM(C28:K28)</f>
        <v>1144682</v>
      </c>
      <c r="C28" s="77">
        <v>513085</v>
      </c>
      <c r="D28" s="77">
        <v>12000</v>
      </c>
      <c r="E28" s="369">
        <v>0</v>
      </c>
      <c r="F28" s="369">
        <v>0</v>
      </c>
      <c r="G28" s="73">
        <v>44092</v>
      </c>
      <c r="H28" s="77">
        <v>511774</v>
      </c>
      <c r="I28" s="77">
        <v>63731</v>
      </c>
      <c r="J28" s="369"/>
      <c r="K28" s="394">
        <v>0</v>
      </c>
      <c r="L28" s="222"/>
      <c r="M28" s="89">
        <f>SUM(C28:F28)/B28*100</f>
        <v>45.871691875997</v>
      </c>
      <c r="N28" s="89">
        <f t="shared" si="2"/>
        <v>3.8518994795060983</v>
      </c>
      <c r="O28" s="89">
        <f t="shared" si="3"/>
        <v>50.2764086444969</v>
      </c>
      <c r="P28" s="89">
        <f t="shared" si="1"/>
        <v>0</v>
      </c>
      <c r="Q28" s="45"/>
      <c r="R28" s="71"/>
    </row>
    <row r="29" spans="1:18" ht="12.75">
      <c r="A29" s="39"/>
      <c r="B29" s="77"/>
      <c r="C29" s="369"/>
      <c r="D29" s="369"/>
      <c r="E29" s="369"/>
      <c r="F29" s="115"/>
      <c r="G29" s="115"/>
      <c r="H29" s="369"/>
      <c r="I29" s="369"/>
      <c r="J29" s="369"/>
      <c r="K29" s="394"/>
      <c r="L29" s="222"/>
      <c r="M29" s="89"/>
      <c r="N29" s="89"/>
      <c r="O29" s="89"/>
      <c r="P29" s="89"/>
      <c r="R29" s="43"/>
    </row>
    <row r="30" spans="1:18" ht="12.75">
      <c r="A30" s="39" t="s">
        <v>16</v>
      </c>
      <c r="B30" s="77">
        <f>SUM(C30:K30)</f>
        <v>39298353.28999999</v>
      </c>
      <c r="C30" s="77">
        <v>21314053.04</v>
      </c>
      <c r="D30" s="369">
        <v>0</v>
      </c>
      <c r="E30" s="73">
        <v>715814.55</v>
      </c>
      <c r="F30" s="370">
        <v>0</v>
      </c>
      <c r="G30" s="73">
        <v>801840.4</v>
      </c>
      <c r="H30" s="77">
        <v>14474673.39</v>
      </c>
      <c r="I30" s="77">
        <v>1991971.91</v>
      </c>
      <c r="J30" s="369"/>
      <c r="K30" s="394">
        <v>0</v>
      </c>
      <c r="L30" s="222"/>
      <c r="M30" s="89">
        <f>SUM(C30:E30)/B30*100</f>
        <v>56.05799160955124</v>
      </c>
      <c r="N30" s="89">
        <f t="shared" si="2"/>
        <v>2.0403918558186493</v>
      </c>
      <c r="O30" s="89">
        <f t="shared" si="3"/>
        <v>41.90161653463013</v>
      </c>
      <c r="P30" s="89">
        <f t="shared" si="1"/>
        <v>0</v>
      </c>
      <c r="Q30" s="45"/>
      <c r="R30" s="71"/>
    </row>
    <row r="31" spans="1:18" ht="12.75">
      <c r="A31" s="39" t="s">
        <v>17</v>
      </c>
      <c r="B31" s="77">
        <f>SUM(C31:K31)</f>
        <v>66974874.33</v>
      </c>
      <c r="C31" s="77">
        <v>16362960.77</v>
      </c>
      <c r="D31" s="77">
        <v>1730879.77</v>
      </c>
      <c r="E31" s="369">
        <v>0</v>
      </c>
      <c r="F31" s="77">
        <v>18563900</v>
      </c>
      <c r="G31" s="73">
        <v>1281612.46</v>
      </c>
      <c r="H31" s="77">
        <v>26694627.18</v>
      </c>
      <c r="I31" s="77">
        <v>2340894.15</v>
      </c>
      <c r="J31" s="369"/>
      <c r="K31" s="389">
        <v>0</v>
      </c>
      <c r="L31" s="222"/>
      <c r="M31" s="89">
        <f>SUM(C31:F31)/B31*100</f>
        <v>54.73357121863225</v>
      </c>
      <c r="N31" s="89">
        <f t="shared" si="2"/>
        <v>1.9135720265561267</v>
      </c>
      <c r="O31" s="89">
        <f t="shared" si="3"/>
        <v>43.35285675481162</v>
      </c>
      <c r="P31" s="89">
        <f t="shared" si="1"/>
        <v>0</v>
      </c>
      <c r="Q31" s="45"/>
      <c r="R31" s="71"/>
    </row>
    <row r="32" spans="1:18" ht="12.75">
      <c r="A32" s="39" t="s">
        <v>18</v>
      </c>
      <c r="B32" s="77">
        <f>SUM(C32:K32)</f>
        <v>2119315.9999999995</v>
      </c>
      <c r="C32" s="77">
        <v>713650.49</v>
      </c>
      <c r="D32" s="77">
        <v>696064.49</v>
      </c>
      <c r="E32" s="73">
        <v>1419.63</v>
      </c>
      <c r="F32" s="389">
        <v>182487.17</v>
      </c>
      <c r="G32" s="73">
        <v>18268.42</v>
      </c>
      <c r="H32" s="77">
        <v>507425.8</v>
      </c>
      <c r="I32" s="369">
        <v>0</v>
      </c>
      <c r="J32" s="369"/>
      <c r="K32" s="394">
        <v>0</v>
      </c>
      <c r="L32" s="222"/>
      <c r="M32" s="89">
        <f>SUM(C32:E32)/B32*100</f>
        <v>66.58443620488875</v>
      </c>
      <c r="N32" s="89">
        <f t="shared" si="2"/>
        <v>0.8619960402318485</v>
      </c>
      <c r="O32" s="89">
        <f t="shared" si="3"/>
        <v>23.942904220040813</v>
      </c>
      <c r="P32" s="89">
        <f>+F32/B32*100</f>
        <v>8.6106635348386</v>
      </c>
      <c r="Q32" s="45"/>
      <c r="R32" s="71"/>
    </row>
    <row r="33" spans="1:18" ht="12.75">
      <c r="A33" s="39" t="s">
        <v>19</v>
      </c>
      <c r="B33" s="77">
        <f>SUM(C33:K33)</f>
        <v>4906859.49</v>
      </c>
      <c r="C33" s="77">
        <v>1972325.26</v>
      </c>
      <c r="D33" s="77">
        <v>878535.33</v>
      </c>
      <c r="E33" s="73">
        <v>13969.25</v>
      </c>
      <c r="F33" s="393">
        <v>0</v>
      </c>
      <c r="G33" s="73">
        <v>33008.27</v>
      </c>
      <c r="H33" s="77">
        <v>1692359.18</v>
      </c>
      <c r="I33" s="77">
        <v>316662.2</v>
      </c>
      <c r="J33" s="369"/>
      <c r="K33" s="394">
        <v>0</v>
      </c>
      <c r="L33" s="222"/>
      <c r="M33" s="89">
        <f>SUM(C33:E33)/B33*100</f>
        <v>58.38418332211097</v>
      </c>
      <c r="N33" s="89">
        <f t="shared" si="2"/>
        <v>0.672696458239117</v>
      </c>
      <c r="O33" s="89">
        <f t="shared" si="3"/>
        <v>40.9431202196499</v>
      </c>
      <c r="P33" s="89">
        <f t="shared" si="1"/>
        <v>0</v>
      </c>
      <c r="Q33" s="45"/>
      <c r="R33" s="71"/>
    </row>
    <row r="34" spans="1:18" ht="12.75">
      <c r="A34" s="39" t="s">
        <v>20</v>
      </c>
      <c r="B34" s="77">
        <f>SUM(C34:K34)</f>
        <v>1357445.15</v>
      </c>
      <c r="C34" s="77">
        <v>364961.42</v>
      </c>
      <c r="D34" s="369">
        <v>0</v>
      </c>
      <c r="E34" s="77">
        <v>328.66</v>
      </c>
      <c r="F34" s="393">
        <v>0</v>
      </c>
      <c r="G34" s="114">
        <v>57685.53</v>
      </c>
      <c r="H34" s="77">
        <v>834099.54</v>
      </c>
      <c r="I34" s="77">
        <v>100370</v>
      </c>
      <c r="J34" s="369"/>
      <c r="K34" s="369">
        <v>0</v>
      </c>
      <c r="L34" s="222"/>
      <c r="M34" s="89">
        <f>SUM(C34:F34)/B34*100</f>
        <v>26.910117141749705</v>
      </c>
      <c r="N34" s="89">
        <f t="shared" si="2"/>
        <v>4.249566179524823</v>
      </c>
      <c r="O34" s="89">
        <f t="shared" si="3"/>
        <v>68.84031667872547</v>
      </c>
      <c r="P34" s="89">
        <f t="shared" si="1"/>
        <v>0</v>
      </c>
      <c r="Q34" s="45"/>
      <c r="R34" s="71"/>
    </row>
    <row r="35" spans="1:18" ht="12.75">
      <c r="A35" s="39"/>
      <c r="B35" s="77"/>
      <c r="C35" s="369"/>
      <c r="D35" s="369"/>
      <c r="E35" s="369"/>
      <c r="F35" s="115"/>
      <c r="G35" s="115"/>
      <c r="H35" s="369"/>
      <c r="I35" s="369"/>
      <c r="J35" s="369"/>
      <c r="K35" s="394"/>
      <c r="L35" s="222"/>
      <c r="M35" s="89"/>
      <c r="N35" s="89"/>
      <c r="O35" s="89"/>
      <c r="P35" s="89"/>
      <c r="R35" s="43"/>
    </row>
    <row r="36" spans="1:18" ht="12.75">
      <c r="A36" s="39" t="s">
        <v>21</v>
      </c>
      <c r="B36" s="77">
        <f>SUM(C36:K36)</f>
        <v>1637083.3800000001</v>
      </c>
      <c r="C36" s="77">
        <v>403911.5</v>
      </c>
      <c r="D36" s="77">
        <v>489239.03</v>
      </c>
      <c r="E36" s="73">
        <v>24031.31</v>
      </c>
      <c r="F36" s="389">
        <v>4521.73</v>
      </c>
      <c r="G36" s="73">
        <v>80853.64</v>
      </c>
      <c r="H36" s="229">
        <v>552270.09</v>
      </c>
      <c r="I36" s="77">
        <v>82256.08</v>
      </c>
      <c r="J36" s="369"/>
      <c r="K36" s="394">
        <v>0</v>
      </c>
      <c r="L36" s="222"/>
      <c r="M36" s="89">
        <f>SUM(C36:E36)/B36*100</f>
        <v>56.02535895270038</v>
      </c>
      <c r="N36" s="89">
        <f t="shared" si="2"/>
        <v>4.938883442821342</v>
      </c>
      <c r="O36" s="89">
        <f t="shared" si="3"/>
        <v>38.75955114760251</v>
      </c>
      <c r="P36" s="89">
        <f t="shared" si="1"/>
        <v>0</v>
      </c>
      <c r="Q36" s="45"/>
      <c r="R36" s="71"/>
    </row>
    <row r="37" spans="1:18" ht="12.75">
      <c r="A37" s="39" t="s">
        <v>22</v>
      </c>
      <c r="B37" s="77">
        <f>SUM(C37:K37)</f>
        <v>8012546</v>
      </c>
      <c r="C37" s="77">
        <v>3857848</v>
      </c>
      <c r="D37" s="77">
        <v>403472</v>
      </c>
      <c r="E37" s="369">
        <v>0</v>
      </c>
      <c r="F37" s="115">
        <v>0</v>
      </c>
      <c r="G37" s="73">
        <v>124898</v>
      </c>
      <c r="H37" s="77">
        <v>3210481</v>
      </c>
      <c r="I37" s="77">
        <v>415847</v>
      </c>
      <c r="J37" s="369"/>
      <c r="K37" s="394">
        <v>0</v>
      </c>
      <c r="L37" s="222"/>
      <c r="M37" s="89">
        <f>SUM(C37:F37)/B37*100</f>
        <v>53.18309561030913</v>
      </c>
      <c r="N37" s="89">
        <f t="shared" si="2"/>
        <v>1.5587804425709382</v>
      </c>
      <c r="O37" s="89">
        <f t="shared" si="3"/>
        <v>45.25812394711993</v>
      </c>
      <c r="P37" s="89">
        <f t="shared" si="1"/>
        <v>0</v>
      </c>
      <c r="Q37" s="45"/>
      <c r="R37" s="71"/>
    </row>
    <row r="38" spans="1:18" ht="12.75">
      <c r="A38" s="39" t="s">
        <v>23</v>
      </c>
      <c r="B38" s="77">
        <f>SUM(C38:K38)</f>
        <v>5341322.76</v>
      </c>
      <c r="C38" s="77">
        <v>795442.64</v>
      </c>
      <c r="D38" s="77">
        <v>1177238.99</v>
      </c>
      <c r="E38" s="73">
        <v>4344.68</v>
      </c>
      <c r="F38" s="389">
        <v>25773.24</v>
      </c>
      <c r="G38" s="73">
        <v>175652.75</v>
      </c>
      <c r="H38" s="77">
        <v>2913029.59</v>
      </c>
      <c r="I38" s="77">
        <v>249840.87</v>
      </c>
      <c r="J38" s="369"/>
      <c r="K38" s="243">
        <v>0</v>
      </c>
      <c r="L38" s="222"/>
      <c r="M38" s="89">
        <f>SUM(C38:E38)/B38*100</f>
        <v>37.01379599835303</v>
      </c>
      <c r="N38" s="89">
        <f t="shared" si="2"/>
        <v>3.2885627379686753</v>
      </c>
      <c r="O38" s="89">
        <f t="shared" si="3"/>
        <v>59.215115845199364</v>
      </c>
      <c r="P38" s="89">
        <f t="shared" si="1"/>
        <v>0</v>
      </c>
      <c r="Q38" s="45"/>
      <c r="R38" s="71"/>
    </row>
    <row r="39" spans="1:18" ht="12.75">
      <c r="A39" s="91" t="s">
        <v>24</v>
      </c>
      <c r="B39" s="237">
        <f>SUM(C39:K39)</f>
        <v>2349097.4699999997</v>
      </c>
      <c r="C39" s="237">
        <v>567781.2</v>
      </c>
      <c r="D39" s="237">
        <v>387948.9</v>
      </c>
      <c r="E39" s="237">
        <v>2668.25</v>
      </c>
      <c r="F39" s="395">
        <v>188660.52</v>
      </c>
      <c r="G39" s="237">
        <v>35632.15</v>
      </c>
      <c r="H39" s="237">
        <v>1166406.45</v>
      </c>
      <c r="I39" s="237">
        <v>0</v>
      </c>
      <c r="J39" s="221"/>
      <c r="K39" s="397">
        <v>0</v>
      </c>
      <c r="L39" s="220"/>
      <c r="M39" s="292">
        <f>SUM(C39:E39)/B39*100</f>
        <v>40.79857742131067</v>
      </c>
      <c r="N39" s="292">
        <f t="shared" si="2"/>
        <v>1.5168442542318181</v>
      </c>
      <c r="O39" s="292">
        <f t="shared" si="3"/>
        <v>49.65338666854041</v>
      </c>
      <c r="P39" s="292">
        <f t="shared" si="1"/>
        <v>0</v>
      </c>
      <c r="Q39" s="45"/>
      <c r="R39" s="71"/>
    </row>
    <row r="40" spans="1:16" ht="12.75">
      <c r="A40" s="92"/>
      <c r="B40" s="39"/>
      <c r="C40" s="39"/>
      <c r="D40" s="39"/>
      <c r="E40" s="39"/>
      <c r="F40" s="39"/>
      <c r="G40" s="39"/>
      <c r="H40" s="39"/>
      <c r="I40" s="39"/>
      <c r="J40" s="90"/>
      <c r="K40" s="78"/>
      <c r="L40" s="39"/>
      <c r="M40" s="79"/>
      <c r="N40" s="89"/>
      <c r="O40" s="89"/>
      <c r="P40" s="89"/>
    </row>
    <row r="41" spans="1:16" ht="12.75">
      <c r="A41" s="92" t="s">
        <v>257</v>
      </c>
      <c r="I41" s="1"/>
      <c r="J41" s="1"/>
      <c r="M41" s="41"/>
      <c r="N41" s="41"/>
      <c r="O41" s="41"/>
      <c r="P41" s="41"/>
    </row>
    <row r="42" spans="1:16" ht="12.75">
      <c r="A42" s="23" t="s">
        <v>341</v>
      </c>
      <c r="I42" s="1"/>
      <c r="J42" s="1"/>
      <c r="M42" s="41"/>
      <c r="N42" s="41"/>
      <c r="O42" s="41"/>
      <c r="P42" s="41"/>
    </row>
    <row r="43" spans="2:16" ht="12.75">
      <c r="B43" s="174"/>
      <c r="F43" s="231"/>
      <c r="I43" s="1"/>
      <c r="J43" s="1"/>
      <c r="M43" s="41"/>
      <c r="N43" s="41"/>
      <c r="O43" s="41"/>
      <c r="P43" s="41"/>
    </row>
    <row r="44" spans="6:16" ht="12.75">
      <c r="F44" s="231"/>
      <c r="I44" s="1"/>
      <c r="J44" s="1"/>
      <c r="M44" s="41"/>
      <c r="N44" s="41"/>
      <c r="O44" s="41"/>
      <c r="P44" s="41"/>
    </row>
    <row r="45" spans="6:16" ht="12.75">
      <c r="F45" s="231"/>
      <c r="M45" s="41"/>
      <c r="N45" s="41"/>
      <c r="O45" s="41"/>
      <c r="P45" s="41"/>
    </row>
    <row r="46" spans="6:16" ht="12.75">
      <c r="F46" s="231"/>
      <c r="M46" s="41"/>
      <c r="N46" s="41"/>
      <c r="O46" s="41"/>
      <c r="P46" s="41"/>
    </row>
    <row r="47" spans="6:16" ht="12.75">
      <c r="F47" s="231"/>
      <c r="M47" s="41"/>
      <c r="N47" s="41"/>
      <c r="O47" s="41"/>
      <c r="P47" s="41"/>
    </row>
    <row r="48" spans="6:16" ht="12.75">
      <c r="F48" s="231"/>
      <c r="M48" s="41"/>
      <c r="N48" s="41"/>
      <c r="O48" s="41"/>
      <c r="P48" s="41"/>
    </row>
    <row r="49" spans="6:16" ht="12.75">
      <c r="F49" s="231"/>
      <c r="M49" s="41"/>
      <c r="N49" s="41"/>
      <c r="O49" s="41"/>
      <c r="P49" s="41"/>
    </row>
    <row r="50" spans="6:16" ht="12.75">
      <c r="F50" s="231"/>
      <c r="M50" s="41"/>
      <c r="N50" s="41"/>
      <c r="O50" s="41"/>
      <c r="P50" s="41"/>
    </row>
    <row r="51" spans="6:16" ht="12.75">
      <c r="F51" s="231"/>
      <c r="M51" s="41"/>
      <c r="N51" s="41"/>
      <c r="O51" s="41"/>
      <c r="P51" s="41"/>
    </row>
    <row r="52" spans="6:16" ht="12.75">
      <c r="F52" s="231"/>
      <c r="M52" s="41"/>
      <c r="N52" s="41"/>
      <c r="O52" s="41"/>
      <c r="P52" s="41"/>
    </row>
    <row r="53" spans="6:16" ht="12.75">
      <c r="F53" s="231"/>
      <c r="M53" s="41"/>
      <c r="N53" s="41"/>
      <c r="O53" s="41"/>
      <c r="P53" s="41"/>
    </row>
    <row r="54" spans="6:16" ht="12.75">
      <c r="F54" s="231"/>
      <c r="M54" s="41"/>
      <c r="N54" s="41"/>
      <c r="O54" s="41"/>
      <c r="P54" s="41"/>
    </row>
    <row r="55" spans="6:16" ht="12.75">
      <c r="F55" s="231"/>
      <c r="M55" s="41"/>
      <c r="N55" s="41"/>
      <c r="O55" s="41"/>
      <c r="P55" s="41"/>
    </row>
    <row r="56" spans="6:16" ht="12.75">
      <c r="F56" s="231"/>
      <c r="M56" s="41"/>
      <c r="N56" s="41"/>
      <c r="O56" s="41"/>
      <c r="P56" s="41"/>
    </row>
    <row r="57" spans="13:16" ht="12.75">
      <c r="M57" s="41"/>
      <c r="N57" s="41"/>
      <c r="O57" s="41"/>
      <c r="P57" s="41"/>
    </row>
    <row r="58" spans="13:16" ht="12.75">
      <c r="M58" s="41"/>
      <c r="N58" s="41"/>
      <c r="O58" s="41"/>
      <c r="P58" s="41"/>
    </row>
    <row r="59" spans="13:16" ht="12.75">
      <c r="M59" s="41"/>
      <c r="N59" s="41"/>
      <c r="O59" s="41"/>
      <c r="P59" s="41"/>
    </row>
    <row r="60" spans="13:16" ht="12.75">
      <c r="M60" s="41"/>
      <c r="N60" s="41"/>
      <c r="O60" s="41"/>
      <c r="P60" s="41"/>
    </row>
    <row r="61" spans="13:16" ht="12.75">
      <c r="M61" s="41"/>
      <c r="N61" s="41"/>
      <c r="O61" s="41"/>
      <c r="P61" s="41"/>
    </row>
    <row r="62" spans="13:16" ht="12.75">
      <c r="M62" s="41"/>
      <c r="N62" s="41"/>
      <c r="O62" s="41"/>
      <c r="P62" s="41"/>
    </row>
    <row r="63" spans="13:16" ht="12.75">
      <c r="M63" s="41"/>
      <c r="N63" s="41"/>
      <c r="O63" s="41"/>
      <c r="P63" s="41"/>
    </row>
    <row r="64" spans="13:16" ht="12.75">
      <c r="M64" s="41"/>
      <c r="N64" s="41"/>
      <c r="O64" s="41"/>
      <c r="P64" s="41"/>
    </row>
    <row r="65" spans="13:16" ht="12.75">
      <c r="M65" s="41"/>
      <c r="N65" s="41"/>
      <c r="O65" s="41"/>
      <c r="P65" s="41"/>
    </row>
    <row r="66" spans="13:16" ht="12.75">
      <c r="M66" s="41"/>
      <c r="N66" s="41"/>
      <c r="O66" s="41"/>
      <c r="P66" s="41"/>
    </row>
    <row r="67" spans="13:16" ht="12.75">
      <c r="M67" s="41"/>
      <c r="N67" s="41"/>
      <c r="O67" s="41"/>
      <c r="P67" s="41"/>
    </row>
    <row r="68" spans="13:16" ht="12.75">
      <c r="M68" s="41"/>
      <c r="N68" s="41"/>
      <c r="O68" s="41"/>
      <c r="P68" s="41"/>
    </row>
    <row r="69" spans="13:16" ht="12.75">
      <c r="M69" s="41"/>
      <c r="N69" s="41"/>
      <c r="O69" s="41"/>
      <c r="P69" s="41"/>
    </row>
    <row r="70" spans="13:16" ht="12.75">
      <c r="M70" s="41"/>
      <c r="N70" s="41"/>
      <c r="O70" s="41"/>
      <c r="P70" s="41"/>
    </row>
    <row r="71" spans="13:16" ht="12.75">
      <c r="M71" s="41"/>
      <c r="N71" s="41"/>
      <c r="O71" s="41"/>
      <c r="P71" s="41"/>
    </row>
    <row r="72" spans="13:16" ht="12.75">
      <c r="M72" s="41"/>
      <c r="N72" s="41"/>
      <c r="O72" s="41"/>
      <c r="P72" s="41"/>
    </row>
    <row r="73" spans="13:16" ht="12.75">
      <c r="M73" s="41"/>
      <c r="N73" s="41"/>
      <c r="O73" s="41"/>
      <c r="P73" s="41"/>
    </row>
    <row r="74" spans="13:16" ht="12.75">
      <c r="M74" s="41"/>
      <c r="N74" s="41"/>
      <c r="O74" s="41"/>
      <c r="P74" s="41"/>
    </row>
    <row r="75" spans="13:16" ht="12.75">
      <c r="M75" s="41"/>
      <c r="N75" s="41"/>
      <c r="O75" s="41"/>
      <c r="P75" s="41"/>
    </row>
    <row r="76" spans="13:16" ht="12.75">
      <c r="M76" s="41"/>
      <c r="N76" s="41"/>
      <c r="O76" s="41"/>
      <c r="P76" s="41"/>
    </row>
    <row r="77" spans="13:16" ht="12.75">
      <c r="M77" s="41"/>
      <c r="N77" s="41"/>
      <c r="O77" s="41"/>
      <c r="P77" s="41"/>
    </row>
    <row r="78" spans="13:16" ht="12.75">
      <c r="M78" s="41"/>
      <c r="N78" s="41"/>
      <c r="O78" s="41"/>
      <c r="P78" s="41"/>
    </row>
    <row r="79" spans="13:16" ht="12.75">
      <c r="M79" s="41"/>
      <c r="N79" s="41"/>
      <c r="O79" s="41"/>
      <c r="P79" s="41"/>
    </row>
    <row r="80" spans="13:16" ht="12.75">
      <c r="M80" s="41"/>
      <c r="N80" s="41"/>
      <c r="O80" s="41"/>
      <c r="P80" s="41"/>
    </row>
    <row r="81" spans="13:16" ht="12.75">
      <c r="M81" s="41"/>
      <c r="N81" s="41"/>
      <c r="O81" s="41"/>
      <c r="P81" s="41"/>
    </row>
    <row r="82" spans="13:16" ht="12.75">
      <c r="M82" s="41"/>
      <c r="N82" s="41"/>
      <c r="O82" s="41"/>
      <c r="P82" s="41"/>
    </row>
    <row r="83" spans="13:16" ht="12.75">
      <c r="M83" s="41"/>
      <c r="N83" s="41"/>
      <c r="O83" s="41"/>
      <c r="P83" s="41"/>
    </row>
    <row r="84" spans="13:16" ht="12.75">
      <c r="M84" s="41"/>
      <c r="N84" s="41"/>
      <c r="O84" s="41"/>
      <c r="P84" s="41"/>
    </row>
    <row r="85" spans="13:16" ht="12.75">
      <c r="M85" s="41"/>
      <c r="N85" s="41"/>
      <c r="O85" s="41"/>
      <c r="P85" s="41"/>
    </row>
    <row r="86" spans="13:16" ht="12.75">
      <c r="M86" s="41"/>
      <c r="N86" s="41"/>
      <c r="O86" s="41"/>
      <c r="P86" s="41"/>
    </row>
    <row r="87" spans="13:16" ht="12.75">
      <c r="M87" s="41"/>
      <c r="N87" s="41"/>
      <c r="O87" s="41"/>
      <c r="P87" s="41"/>
    </row>
    <row r="88" spans="13:16" ht="12.75">
      <c r="M88" s="41"/>
      <c r="N88" s="41"/>
      <c r="O88" s="41"/>
      <c r="P88" s="41"/>
    </row>
    <row r="89" spans="13:16" ht="12.75">
      <c r="M89" s="41"/>
      <c r="N89" s="41"/>
      <c r="O89" s="41"/>
      <c r="P89" s="41"/>
    </row>
    <row r="90" spans="13:16" ht="12.75">
      <c r="M90" s="41"/>
      <c r="N90" s="41"/>
      <c r="O90" s="41"/>
      <c r="P90" s="41"/>
    </row>
    <row r="91" spans="13:16" ht="12.75">
      <c r="M91" s="41"/>
      <c r="N91" s="41"/>
      <c r="O91" s="41"/>
      <c r="P91" s="41"/>
    </row>
    <row r="92" spans="13:16" ht="12.75">
      <c r="M92" s="41"/>
      <c r="N92" s="41"/>
      <c r="O92" s="41"/>
      <c r="P92" s="41"/>
    </row>
    <row r="93" spans="13:16" ht="12.75">
      <c r="M93" s="41"/>
      <c r="N93" s="41"/>
      <c r="O93" s="41"/>
      <c r="P93" s="41"/>
    </row>
    <row r="94" spans="13:16" ht="12.75">
      <c r="M94" s="41"/>
      <c r="N94" s="41"/>
      <c r="O94" s="41"/>
      <c r="P94" s="41"/>
    </row>
    <row r="95" spans="13:16" ht="12.75">
      <c r="M95" s="41"/>
      <c r="N95" s="41"/>
      <c r="O95" s="41"/>
      <c r="P95" s="41"/>
    </row>
    <row r="96" spans="13:16" ht="12.75">
      <c r="M96" s="41"/>
      <c r="N96" s="41"/>
      <c r="O96" s="41"/>
      <c r="P96" s="41"/>
    </row>
    <row r="97" spans="13:16" ht="12.75">
      <c r="M97" s="41"/>
      <c r="N97" s="41"/>
      <c r="O97" s="41"/>
      <c r="P97" s="41"/>
    </row>
    <row r="98" spans="13:16" ht="12.75">
      <c r="M98" s="41"/>
      <c r="N98" s="41"/>
      <c r="O98" s="41"/>
      <c r="P98" s="41"/>
    </row>
    <row r="99" spans="13:16" ht="12.75">
      <c r="M99" s="41"/>
      <c r="N99" s="41"/>
      <c r="O99" s="41"/>
      <c r="P99" s="41"/>
    </row>
    <row r="100" spans="13:16" ht="12.75">
      <c r="M100" s="41"/>
      <c r="N100" s="41"/>
      <c r="O100" s="41"/>
      <c r="P100" s="41"/>
    </row>
    <row r="101" spans="13:16" ht="12.75">
      <c r="M101" s="41"/>
      <c r="N101" s="41"/>
      <c r="O101" s="41"/>
      <c r="P101" s="41"/>
    </row>
    <row r="102" spans="13:16" ht="12.75">
      <c r="M102" s="41"/>
      <c r="N102" s="41"/>
      <c r="O102" s="41"/>
      <c r="P102" s="41"/>
    </row>
    <row r="103" spans="13:16" ht="12.75">
      <c r="M103" s="41"/>
      <c r="N103" s="41"/>
      <c r="O103" s="41"/>
      <c r="P103" s="41"/>
    </row>
    <row r="104" spans="13:16" ht="12.75">
      <c r="M104" s="41"/>
      <c r="N104" s="41"/>
      <c r="O104" s="41"/>
      <c r="P104" s="41"/>
    </row>
    <row r="105" spans="13:16" ht="12.75">
      <c r="M105" s="41"/>
      <c r="N105" s="41"/>
      <c r="O105" s="41"/>
      <c r="P105" s="41"/>
    </row>
    <row r="106" spans="13:16" ht="12.75">
      <c r="M106" s="41"/>
      <c r="N106" s="41"/>
      <c r="O106" s="41"/>
      <c r="P106" s="41"/>
    </row>
    <row r="107" spans="13:16" ht="12.75">
      <c r="M107" s="41"/>
      <c r="N107" s="41"/>
      <c r="O107" s="41"/>
      <c r="P107" s="41"/>
    </row>
    <row r="108" spans="13:16" ht="12.75">
      <c r="M108" s="41"/>
      <c r="N108" s="41"/>
      <c r="O108" s="41"/>
      <c r="P108" s="41"/>
    </row>
    <row r="109" spans="13:16" ht="12.75">
      <c r="M109" s="41"/>
      <c r="N109" s="41"/>
      <c r="O109" s="41"/>
      <c r="P109" s="41"/>
    </row>
    <row r="110" spans="13:16" ht="12.75">
      <c r="M110" s="41"/>
      <c r="N110" s="41"/>
      <c r="O110" s="41"/>
      <c r="P110" s="41"/>
    </row>
    <row r="111" spans="13:16" ht="12.75">
      <c r="M111" s="41"/>
      <c r="N111" s="41"/>
      <c r="O111" s="41"/>
      <c r="P111" s="41"/>
    </row>
    <row r="112" spans="13:16" ht="12.75">
      <c r="M112" s="41"/>
      <c r="N112" s="41"/>
      <c r="O112" s="41"/>
      <c r="P112" s="41"/>
    </row>
    <row r="113" spans="13:16" ht="12.75">
      <c r="M113" s="41"/>
      <c r="N113" s="41"/>
      <c r="O113" s="41"/>
      <c r="P113" s="41"/>
    </row>
    <row r="114" spans="13:16" ht="12.75">
      <c r="M114" s="41"/>
      <c r="N114" s="41"/>
      <c r="O114" s="41"/>
      <c r="P114" s="41"/>
    </row>
    <row r="115" spans="13:16" ht="12.75">
      <c r="M115" s="41"/>
      <c r="N115" s="41"/>
      <c r="O115" s="41"/>
      <c r="P115" s="41"/>
    </row>
    <row r="116" spans="13:16" ht="12.75">
      <c r="M116" s="41"/>
      <c r="N116" s="41"/>
      <c r="O116" s="41"/>
      <c r="P116" s="41"/>
    </row>
    <row r="117" spans="13:16" ht="12.75">
      <c r="M117" s="41"/>
      <c r="N117" s="41"/>
      <c r="O117" s="41"/>
      <c r="P117" s="41"/>
    </row>
    <row r="118" spans="13:16" ht="12.75">
      <c r="M118" s="41"/>
      <c r="N118" s="41"/>
      <c r="O118" s="41"/>
      <c r="P118" s="41"/>
    </row>
    <row r="119" spans="13:16" ht="12.75">
      <c r="M119" s="41"/>
      <c r="N119" s="41"/>
      <c r="O119" s="41"/>
      <c r="P119" s="41"/>
    </row>
    <row r="120" spans="13:16" ht="12.75">
      <c r="M120" s="41"/>
      <c r="N120" s="41"/>
      <c r="O120" s="41"/>
      <c r="P120" s="41"/>
    </row>
    <row r="121" spans="13:16" ht="12.75">
      <c r="M121" s="41"/>
      <c r="N121" s="41"/>
      <c r="O121" s="41"/>
      <c r="P121" s="41"/>
    </row>
    <row r="122" spans="13:16" ht="12.75">
      <c r="M122" s="41"/>
      <c r="N122" s="41"/>
      <c r="O122" s="41"/>
      <c r="P122" s="41"/>
    </row>
    <row r="123" spans="13:16" ht="12.75">
      <c r="M123" s="41"/>
      <c r="N123" s="41"/>
      <c r="O123" s="41"/>
      <c r="P123" s="41"/>
    </row>
    <row r="124" spans="13:16" ht="12.75">
      <c r="M124" s="41"/>
      <c r="N124" s="41"/>
      <c r="O124" s="41"/>
      <c r="P124" s="41"/>
    </row>
    <row r="125" spans="13:16" ht="12.75">
      <c r="M125" s="41"/>
      <c r="N125" s="41"/>
      <c r="O125" s="41"/>
      <c r="P125" s="41"/>
    </row>
    <row r="126" spans="13:16" ht="12.75">
      <c r="M126" s="41"/>
      <c r="N126" s="41"/>
      <c r="O126" s="41"/>
      <c r="P126" s="41"/>
    </row>
    <row r="127" spans="13:16" ht="12.75">
      <c r="M127" s="41"/>
      <c r="N127" s="41"/>
      <c r="O127" s="41"/>
      <c r="P127" s="41"/>
    </row>
    <row r="128" spans="13:16" ht="12.75">
      <c r="M128" s="41"/>
      <c r="N128" s="41"/>
      <c r="O128" s="41"/>
      <c r="P128" s="41"/>
    </row>
    <row r="129" spans="13:16" ht="12.75">
      <c r="M129" s="41"/>
      <c r="N129" s="41"/>
      <c r="O129" s="41"/>
      <c r="P129" s="41"/>
    </row>
    <row r="130" spans="13:16" ht="12.75">
      <c r="M130" s="41"/>
      <c r="N130" s="41"/>
      <c r="O130" s="41"/>
      <c r="P130" s="41"/>
    </row>
    <row r="131" spans="13:16" ht="12.75">
      <c r="M131" s="41"/>
      <c r="N131" s="41"/>
      <c r="O131" s="41"/>
      <c r="P131" s="41"/>
    </row>
    <row r="132" spans="13:16" ht="12.75">
      <c r="M132" s="41"/>
      <c r="N132" s="41"/>
      <c r="O132" s="41"/>
      <c r="P132" s="41"/>
    </row>
    <row r="133" spans="13:16" ht="12.75">
      <c r="M133" s="41"/>
      <c r="N133" s="41"/>
      <c r="O133" s="41"/>
      <c r="P133" s="41"/>
    </row>
    <row r="134" spans="13:16" ht="12.75">
      <c r="M134" s="41"/>
      <c r="N134" s="41"/>
      <c r="O134" s="41"/>
      <c r="P134" s="41"/>
    </row>
    <row r="135" spans="13:16" ht="12.75">
      <c r="M135" s="41"/>
      <c r="N135" s="41"/>
      <c r="O135" s="41"/>
      <c r="P135" s="41"/>
    </row>
    <row r="136" spans="13:16" ht="12.75">
      <c r="M136" s="41"/>
      <c r="N136" s="41"/>
      <c r="O136" s="41"/>
      <c r="P136" s="41"/>
    </row>
    <row r="137" spans="13:16" ht="12.75">
      <c r="M137" s="41"/>
      <c r="N137" s="41"/>
      <c r="O137" s="41"/>
      <c r="P137" s="41"/>
    </row>
    <row r="138" spans="13:16" ht="12.75">
      <c r="M138" s="41"/>
      <c r="N138" s="41"/>
      <c r="O138" s="41"/>
      <c r="P138" s="41"/>
    </row>
    <row r="139" spans="13:16" ht="12.75">
      <c r="M139" s="41"/>
      <c r="N139" s="41"/>
      <c r="O139" s="41"/>
      <c r="P139" s="41"/>
    </row>
    <row r="140" spans="13:16" ht="12.75">
      <c r="M140" s="41"/>
      <c r="N140" s="41"/>
      <c r="O140" s="41"/>
      <c r="P140" s="41"/>
    </row>
    <row r="141" spans="13:16" ht="12.75">
      <c r="M141" s="41"/>
      <c r="N141" s="41"/>
      <c r="O141" s="41"/>
      <c r="P141" s="41"/>
    </row>
    <row r="142" spans="13:16" ht="12.75">
      <c r="M142" s="41"/>
      <c r="N142" s="41"/>
      <c r="O142" s="41"/>
      <c r="P142" s="41"/>
    </row>
    <row r="143" spans="13:16" ht="12.75">
      <c r="M143" s="41"/>
      <c r="N143" s="41"/>
      <c r="O143" s="41"/>
      <c r="P143" s="41"/>
    </row>
    <row r="144" spans="13:16" ht="12.75">
      <c r="M144" s="41"/>
      <c r="N144" s="41"/>
      <c r="O144" s="41"/>
      <c r="P144" s="41"/>
    </row>
    <row r="145" spans="13:16" ht="12.75">
      <c r="M145" s="41"/>
      <c r="N145" s="41"/>
      <c r="O145" s="41"/>
      <c r="P145" s="41"/>
    </row>
    <row r="146" spans="13:16" ht="12.75">
      <c r="M146" s="41"/>
      <c r="N146" s="41"/>
      <c r="O146" s="41"/>
      <c r="P146" s="41"/>
    </row>
    <row r="147" spans="13:16" ht="12.75">
      <c r="M147" s="41"/>
      <c r="N147" s="41"/>
      <c r="O147" s="41"/>
      <c r="P147" s="41"/>
    </row>
    <row r="148" spans="13:16" ht="12.75">
      <c r="M148" s="41"/>
      <c r="N148" s="41"/>
      <c r="O148" s="41"/>
      <c r="P148" s="41"/>
    </row>
    <row r="149" spans="13:16" ht="12.75">
      <c r="M149" s="41"/>
      <c r="N149" s="41"/>
      <c r="O149" s="41"/>
      <c r="P149" s="41"/>
    </row>
    <row r="150" spans="13:16" ht="12.75">
      <c r="M150" s="41"/>
      <c r="N150" s="41"/>
      <c r="O150" s="41"/>
      <c r="P150" s="41"/>
    </row>
    <row r="151" spans="13:16" ht="12.75">
      <c r="M151" s="41"/>
      <c r="N151" s="41"/>
      <c r="O151" s="41"/>
      <c r="P151" s="41"/>
    </row>
    <row r="152" spans="13:16" ht="12.75">
      <c r="M152" s="41"/>
      <c r="N152" s="41"/>
      <c r="O152" s="41"/>
      <c r="P152" s="41"/>
    </row>
    <row r="153" spans="13:16" ht="12.75">
      <c r="M153" s="41"/>
      <c r="N153" s="41"/>
      <c r="O153" s="41"/>
      <c r="P153" s="41"/>
    </row>
    <row r="154" spans="13:16" ht="12.75">
      <c r="M154" s="41"/>
      <c r="N154" s="41"/>
      <c r="O154" s="41"/>
      <c r="P154" s="41"/>
    </row>
    <row r="155" spans="13:16" ht="12.75">
      <c r="M155" s="41"/>
      <c r="N155" s="41"/>
      <c r="O155" s="41"/>
      <c r="P155" s="41"/>
    </row>
    <row r="156" spans="13:16" ht="12.75">
      <c r="M156" s="41"/>
      <c r="N156" s="41"/>
      <c r="O156" s="41"/>
      <c r="P156" s="41"/>
    </row>
    <row r="157" spans="13:16" ht="12.75">
      <c r="M157" s="41"/>
      <c r="N157" s="41"/>
      <c r="O157" s="41"/>
      <c r="P157" s="41"/>
    </row>
    <row r="158" spans="13:16" ht="12.75">
      <c r="M158" s="41"/>
      <c r="N158" s="41"/>
      <c r="O158" s="41"/>
      <c r="P158" s="41"/>
    </row>
    <row r="159" spans="13:16" ht="12.75">
      <c r="M159" s="41"/>
      <c r="N159" s="41"/>
      <c r="O159" s="41"/>
      <c r="P159" s="41"/>
    </row>
    <row r="160" spans="13:16" ht="12.75">
      <c r="M160" s="41"/>
      <c r="N160" s="41"/>
      <c r="O160" s="41"/>
      <c r="P160" s="41"/>
    </row>
    <row r="161" spans="13:16" ht="12.75">
      <c r="M161" s="41"/>
      <c r="N161" s="41"/>
      <c r="O161" s="41"/>
      <c r="P161" s="41"/>
    </row>
    <row r="162" spans="13:16" ht="12.75">
      <c r="M162" s="41"/>
      <c r="N162" s="41"/>
      <c r="O162" s="41"/>
      <c r="P162" s="41"/>
    </row>
    <row r="163" spans="13:16" ht="12.75">
      <c r="M163" s="41"/>
      <c r="N163" s="41"/>
      <c r="O163" s="41"/>
      <c r="P163" s="41"/>
    </row>
    <row r="164" spans="13:16" ht="12.75">
      <c r="M164" s="41"/>
      <c r="N164" s="41"/>
      <c r="O164" s="41"/>
      <c r="P164" s="41"/>
    </row>
    <row r="165" spans="13:16" ht="12.75">
      <c r="M165" s="41"/>
      <c r="N165" s="41"/>
      <c r="O165" s="41"/>
      <c r="P165" s="41"/>
    </row>
    <row r="166" spans="13:16" ht="12.75">
      <c r="M166" s="41"/>
      <c r="N166" s="41"/>
      <c r="O166" s="41"/>
      <c r="P166" s="41"/>
    </row>
    <row r="167" spans="13:16" ht="12.75">
      <c r="M167" s="41"/>
      <c r="N167" s="41"/>
      <c r="O167" s="41"/>
      <c r="P167" s="41"/>
    </row>
    <row r="168" spans="13:16" ht="12.75">
      <c r="M168" s="41"/>
      <c r="N168" s="41"/>
      <c r="O168" s="41"/>
      <c r="P168" s="41"/>
    </row>
    <row r="169" spans="13:16" ht="12.75">
      <c r="M169" s="41"/>
      <c r="N169" s="41"/>
      <c r="O169" s="41"/>
      <c r="P169" s="41"/>
    </row>
    <row r="170" spans="13:16" ht="12.75">
      <c r="M170" s="41"/>
      <c r="N170" s="41"/>
      <c r="O170" s="41"/>
      <c r="P170" s="41"/>
    </row>
    <row r="171" spans="13:16" ht="12.75">
      <c r="M171" s="41"/>
      <c r="N171" s="41"/>
      <c r="O171" s="41"/>
      <c r="P171" s="41"/>
    </row>
    <row r="172" spans="13:16" ht="12.75">
      <c r="M172" s="41"/>
      <c r="N172" s="41"/>
      <c r="O172" s="41"/>
      <c r="P172" s="41"/>
    </row>
    <row r="173" spans="13:16" ht="12.75">
      <c r="M173" s="41"/>
      <c r="N173" s="41"/>
      <c r="O173" s="41"/>
      <c r="P173" s="41"/>
    </row>
    <row r="174" spans="13:16" ht="12.75">
      <c r="M174" s="41"/>
      <c r="N174" s="41"/>
      <c r="O174" s="41"/>
      <c r="P174" s="41"/>
    </row>
    <row r="175" spans="13:16" ht="12.75">
      <c r="M175" s="41"/>
      <c r="N175" s="41"/>
      <c r="O175" s="41"/>
      <c r="P175" s="41"/>
    </row>
    <row r="176" spans="13:16" ht="12.75">
      <c r="M176" s="41"/>
      <c r="N176" s="41"/>
      <c r="O176" s="41"/>
      <c r="P176" s="41"/>
    </row>
    <row r="177" spans="13:16" ht="12.75">
      <c r="M177" s="41"/>
      <c r="N177" s="41"/>
      <c r="O177" s="41"/>
      <c r="P177" s="41"/>
    </row>
    <row r="178" spans="13:16" ht="12.75">
      <c r="M178" s="41"/>
      <c r="N178" s="41"/>
      <c r="O178" s="41"/>
      <c r="P178" s="41"/>
    </row>
    <row r="179" spans="13:16" ht="12.75">
      <c r="M179" s="41"/>
      <c r="N179" s="41"/>
      <c r="O179" s="41"/>
      <c r="P179" s="41"/>
    </row>
    <row r="180" spans="13:16" ht="12.75">
      <c r="M180" s="41"/>
      <c r="N180" s="41"/>
      <c r="O180" s="41"/>
      <c r="P180" s="41"/>
    </row>
    <row r="181" spans="13:16" ht="12.75">
      <c r="M181" s="41"/>
      <c r="N181" s="41"/>
      <c r="O181" s="41"/>
      <c r="P181" s="41"/>
    </row>
    <row r="182" spans="13:16" ht="12.75">
      <c r="M182" s="41"/>
      <c r="N182" s="41"/>
      <c r="O182" s="41"/>
      <c r="P182" s="41"/>
    </row>
    <row r="183" spans="13:16" ht="12.75">
      <c r="M183" s="41"/>
      <c r="N183" s="41"/>
      <c r="O183" s="41"/>
      <c r="P183" s="41"/>
    </row>
    <row r="184" spans="13:16" ht="12.75">
      <c r="M184" s="41"/>
      <c r="N184" s="41"/>
      <c r="O184" s="41"/>
      <c r="P184" s="41"/>
    </row>
    <row r="185" spans="13:16" ht="12.75">
      <c r="M185" s="41"/>
      <c r="N185" s="41"/>
      <c r="O185" s="41"/>
      <c r="P185" s="41"/>
    </row>
    <row r="186" spans="13:16" ht="12.75">
      <c r="M186" s="41"/>
      <c r="N186" s="41"/>
      <c r="O186" s="41"/>
      <c r="P186" s="41"/>
    </row>
    <row r="187" spans="13:16" ht="12.75">
      <c r="M187" s="41"/>
      <c r="N187" s="41"/>
      <c r="O187" s="41"/>
      <c r="P187" s="41"/>
    </row>
    <row r="188" spans="13:16" ht="12.75">
      <c r="M188" s="41"/>
      <c r="N188" s="41"/>
      <c r="O188" s="41"/>
      <c r="P188" s="41"/>
    </row>
    <row r="189" spans="13:16" ht="12.75">
      <c r="M189" s="41"/>
      <c r="N189" s="41"/>
      <c r="O189" s="41"/>
      <c r="P189" s="41"/>
    </row>
    <row r="190" spans="13:16" ht="12.75">
      <c r="M190" s="41"/>
      <c r="N190" s="41"/>
      <c r="O190" s="41"/>
      <c r="P190" s="41"/>
    </row>
    <row r="191" spans="13:16" ht="12.75">
      <c r="M191" s="41"/>
      <c r="N191" s="41"/>
      <c r="O191" s="41"/>
      <c r="P191" s="41"/>
    </row>
    <row r="192" spans="13:16" ht="12.75">
      <c r="M192" s="41"/>
      <c r="N192" s="41"/>
      <c r="O192" s="41"/>
      <c r="P192" s="41"/>
    </row>
    <row r="193" spans="13:16" ht="12.75">
      <c r="M193" s="41"/>
      <c r="N193" s="41"/>
      <c r="O193" s="41"/>
      <c r="P193" s="41"/>
    </row>
    <row r="194" spans="13:16" ht="12.75">
      <c r="M194" s="41"/>
      <c r="N194" s="41"/>
      <c r="O194" s="41"/>
      <c r="P194" s="41"/>
    </row>
    <row r="195" spans="13:16" ht="12.75">
      <c r="M195" s="41"/>
      <c r="N195" s="41"/>
      <c r="O195" s="41"/>
      <c r="P195" s="41"/>
    </row>
    <row r="196" spans="13:16" ht="12.75">
      <c r="M196" s="41"/>
      <c r="N196" s="41"/>
      <c r="O196" s="41"/>
      <c r="P196" s="41"/>
    </row>
    <row r="197" spans="13:16" ht="12.75">
      <c r="M197" s="41"/>
      <c r="N197" s="41"/>
      <c r="O197" s="41"/>
      <c r="P197" s="41"/>
    </row>
    <row r="198" spans="13:16" ht="12.75">
      <c r="M198" s="41"/>
      <c r="N198" s="41"/>
      <c r="O198" s="41"/>
      <c r="P198" s="41"/>
    </row>
    <row r="199" spans="13:16" ht="12.75">
      <c r="M199" s="41"/>
      <c r="N199" s="41"/>
      <c r="O199" s="41"/>
      <c r="P199" s="41"/>
    </row>
    <row r="200" spans="13:16" ht="12.75">
      <c r="M200" s="41"/>
      <c r="N200" s="41"/>
      <c r="O200" s="41"/>
      <c r="P200" s="41"/>
    </row>
    <row r="201" spans="13:16" ht="12.75">
      <c r="M201" s="41"/>
      <c r="N201" s="41"/>
      <c r="O201" s="41"/>
      <c r="P201" s="41"/>
    </row>
    <row r="202" spans="13:16" ht="12.75">
      <c r="M202" s="41"/>
      <c r="N202" s="41"/>
      <c r="O202" s="41"/>
      <c r="P202" s="41"/>
    </row>
    <row r="203" spans="13:16" ht="12.75">
      <c r="M203" s="41"/>
      <c r="N203" s="41"/>
      <c r="O203" s="41"/>
      <c r="P203" s="41"/>
    </row>
    <row r="204" spans="13:16" ht="12.75">
      <c r="M204" s="41"/>
      <c r="N204" s="41"/>
      <c r="O204" s="41"/>
      <c r="P204" s="41"/>
    </row>
    <row r="205" spans="13:16" ht="12.75">
      <c r="M205" s="41"/>
      <c r="N205" s="41"/>
      <c r="O205" s="41"/>
      <c r="P205" s="41"/>
    </row>
    <row r="206" spans="13:16" ht="12.75">
      <c r="M206" s="41"/>
      <c r="N206" s="41"/>
      <c r="O206" s="41"/>
      <c r="P206" s="41"/>
    </row>
    <row r="207" spans="13:16" ht="12.75">
      <c r="M207" s="41"/>
      <c r="N207" s="41"/>
      <c r="O207" s="41"/>
      <c r="P207" s="41"/>
    </row>
    <row r="208" spans="13:16" ht="12.75">
      <c r="M208" s="41"/>
      <c r="N208" s="41"/>
      <c r="O208" s="41"/>
      <c r="P208" s="41"/>
    </row>
    <row r="209" spans="13:16" ht="12.75">
      <c r="M209" s="41"/>
      <c r="N209" s="41"/>
      <c r="O209" s="41"/>
      <c r="P209" s="41"/>
    </row>
    <row r="210" spans="13:16" ht="12.75">
      <c r="M210" s="41"/>
      <c r="N210" s="41"/>
      <c r="O210" s="41"/>
      <c r="P210" s="41"/>
    </row>
    <row r="211" spans="13:16" ht="12.75">
      <c r="M211" s="41"/>
      <c r="N211" s="41"/>
      <c r="O211" s="41"/>
      <c r="P211" s="41"/>
    </row>
    <row r="212" spans="13:16" ht="12.75">
      <c r="M212" s="41"/>
      <c r="N212" s="41"/>
      <c r="O212" s="41"/>
      <c r="P212" s="41"/>
    </row>
    <row r="213" spans="13:16" ht="12.75">
      <c r="M213" s="41"/>
      <c r="N213" s="41"/>
      <c r="O213" s="41"/>
      <c r="P213" s="41"/>
    </row>
    <row r="214" spans="13:16" ht="12.75">
      <c r="M214" s="41"/>
      <c r="N214" s="41"/>
      <c r="O214" s="41"/>
      <c r="P214" s="41"/>
    </row>
    <row r="215" spans="13:16" ht="12.75">
      <c r="M215" s="41"/>
      <c r="N215" s="41"/>
      <c r="O215" s="41"/>
      <c r="P215" s="41"/>
    </row>
    <row r="216" spans="13:16" ht="12.75">
      <c r="M216" s="41"/>
      <c r="N216" s="41"/>
      <c r="O216" s="41"/>
      <c r="P216" s="41"/>
    </row>
    <row r="217" spans="13:16" ht="12.75">
      <c r="M217" s="41"/>
      <c r="N217" s="41"/>
      <c r="O217" s="41"/>
      <c r="P217" s="41"/>
    </row>
    <row r="218" spans="13:16" ht="12.75">
      <c r="M218" s="41"/>
      <c r="N218" s="41"/>
      <c r="O218" s="41"/>
      <c r="P218" s="41"/>
    </row>
    <row r="219" spans="13:16" ht="12.75">
      <c r="M219" s="41"/>
      <c r="N219" s="41"/>
      <c r="O219" s="41"/>
      <c r="P219" s="41"/>
    </row>
    <row r="220" spans="13:16" ht="12.75">
      <c r="M220" s="41"/>
      <c r="N220" s="41"/>
      <c r="O220" s="41"/>
      <c r="P220" s="41"/>
    </row>
    <row r="221" spans="13:16" ht="12.75">
      <c r="M221" s="41"/>
      <c r="N221" s="41"/>
      <c r="O221" s="41"/>
      <c r="P221" s="41"/>
    </row>
    <row r="222" spans="13:16" ht="12.75">
      <c r="M222" s="41"/>
      <c r="N222" s="41"/>
      <c r="O222" s="41"/>
      <c r="P222" s="41"/>
    </row>
    <row r="223" spans="13:16" ht="12.75">
      <c r="M223" s="41"/>
      <c r="N223" s="41"/>
      <c r="O223" s="41"/>
      <c r="P223" s="41"/>
    </row>
    <row r="224" spans="13:16" ht="12.75">
      <c r="M224" s="41"/>
      <c r="N224" s="41"/>
      <c r="O224" s="41"/>
      <c r="P224" s="41"/>
    </row>
    <row r="225" spans="13:16" ht="12.75">
      <c r="M225" s="41"/>
      <c r="N225" s="41"/>
      <c r="O225" s="41"/>
      <c r="P225" s="41"/>
    </row>
    <row r="226" spans="13:16" ht="12.75">
      <c r="M226" s="41"/>
      <c r="N226" s="41"/>
      <c r="O226" s="41"/>
      <c r="P226" s="41"/>
    </row>
    <row r="227" spans="13:16" ht="12.75">
      <c r="M227" s="41"/>
      <c r="N227" s="41"/>
      <c r="O227" s="41"/>
      <c r="P227" s="41"/>
    </row>
    <row r="228" spans="13:16" ht="12.75">
      <c r="M228" s="41"/>
      <c r="N228" s="41"/>
      <c r="O228" s="41"/>
      <c r="P228" s="41"/>
    </row>
    <row r="229" spans="13:16" ht="12.75">
      <c r="M229" s="41"/>
      <c r="N229" s="41"/>
      <c r="O229" s="41"/>
      <c r="P229" s="41"/>
    </row>
    <row r="230" spans="13:16" ht="12.75">
      <c r="M230" s="41"/>
      <c r="N230" s="41"/>
      <c r="O230" s="41"/>
      <c r="P230" s="41"/>
    </row>
    <row r="231" spans="13:16" ht="12.75">
      <c r="M231" s="41"/>
      <c r="N231" s="41"/>
      <c r="O231" s="41"/>
      <c r="P231" s="41"/>
    </row>
    <row r="232" spans="13:16" ht="12.75">
      <c r="M232" s="41"/>
      <c r="N232" s="41"/>
      <c r="O232" s="41"/>
      <c r="P232" s="41"/>
    </row>
    <row r="233" spans="13:16" ht="12.75">
      <c r="M233" s="41"/>
      <c r="N233" s="41"/>
      <c r="O233" s="41"/>
      <c r="P233" s="41"/>
    </row>
    <row r="234" spans="13:16" ht="12.75">
      <c r="M234" s="41"/>
      <c r="N234" s="41"/>
      <c r="O234" s="41"/>
      <c r="P234" s="41"/>
    </row>
    <row r="235" spans="13:16" ht="12.75">
      <c r="M235" s="41"/>
      <c r="N235" s="41"/>
      <c r="O235" s="41"/>
      <c r="P235" s="41"/>
    </row>
    <row r="236" spans="13:16" ht="12.75">
      <c r="M236" s="41"/>
      <c r="N236" s="41"/>
      <c r="O236" s="41"/>
      <c r="P236" s="41"/>
    </row>
    <row r="237" spans="13:16" ht="12.75">
      <c r="M237" s="41"/>
      <c r="N237" s="41"/>
      <c r="O237" s="41"/>
      <c r="P237" s="41"/>
    </row>
    <row r="238" spans="13:16" ht="12.75">
      <c r="M238" s="41"/>
      <c r="N238" s="41"/>
      <c r="O238" s="41"/>
      <c r="P238" s="41"/>
    </row>
    <row r="239" spans="13:16" ht="12.75">
      <c r="M239" s="41"/>
      <c r="N239" s="41"/>
      <c r="O239" s="41"/>
      <c r="P239" s="41"/>
    </row>
    <row r="240" spans="13:16" ht="12.75">
      <c r="M240" s="41"/>
      <c r="N240" s="41"/>
      <c r="O240" s="41"/>
      <c r="P240" s="41"/>
    </row>
    <row r="241" spans="13:16" ht="12.75">
      <c r="M241" s="41"/>
      <c r="N241" s="41"/>
      <c r="O241" s="41"/>
      <c r="P241" s="41"/>
    </row>
    <row r="242" spans="13:16" ht="12.75">
      <c r="M242" s="41"/>
      <c r="N242" s="41"/>
      <c r="O242" s="41"/>
      <c r="P242" s="41"/>
    </row>
    <row r="243" spans="13:16" ht="12.75">
      <c r="M243" s="41"/>
      <c r="N243" s="41"/>
      <c r="O243" s="41"/>
      <c r="P243" s="41"/>
    </row>
    <row r="244" spans="13:16" ht="12.75">
      <c r="M244" s="41"/>
      <c r="N244" s="41"/>
      <c r="O244" s="41"/>
      <c r="P244" s="41"/>
    </row>
    <row r="245" spans="13:16" ht="12.75">
      <c r="M245" s="41"/>
      <c r="N245" s="41"/>
      <c r="O245" s="41"/>
      <c r="P245" s="41"/>
    </row>
    <row r="246" spans="13:16" ht="12.75">
      <c r="M246" s="41"/>
      <c r="N246" s="41"/>
      <c r="O246" s="41"/>
      <c r="P246" s="41"/>
    </row>
    <row r="247" spans="13:16" ht="12.75">
      <c r="M247" s="41"/>
      <c r="N247" s="41"/>
      <c r="O247" s="41"/>
      <c r="P247" s="41"/>
    </row>
    <row r="248" spans="13:16" ht="12.75">
      <c r="M248" s="41"/>
      <c r="N248" s="41"/>
      <c r="O248" s="41"/>
      <c r="P248" s="41"/>
    </row>
    <row r="249" spans="13:16" ht="12.75">
      <c r="M249" s="41"/>
      <c r="N249" s="41"/>
      <c r="O249" s="41"/>
      <c r="P249" s="41"/>
    </row>
    <row r="250" spans="13:16" ht="12.75">
      <c r="M250" s="41"/>
      <c r="N250" s="41"/>
      <c r="O250" s="41"/>
      <c r="P250" s="41"/>
    </row>
    <row r="251" spans="13:16" ht="12.75">
      <c r="M251" s="41"/>
      <c r="N251" s="41"/>
      <c r="O251" s="41"/>
      <c r="P251" s="41"/>
    </row>
    <row r="252" spans="13:16" ht="12.75">
      <c r="M252" s="41"/>
      <c r="N252" s="41"/>
      <c r="O252" s="41"/>
      <c r="P252" s="41"/>
    </row>
    <row r="253" spans="13:16" ht="12.75">
      <c r="M253" s="41"/>
      <c r="N253" s="41"/>
      <c r="O253" s="41"/>
      <c r="P253" s="41"/>
    </row>
    <row r="254" spans="13:16" ht="12.75">
      <c r="M254" s="41"/>
      <c r="N254" s="41"/>
      <c r="O254" s="41"/>
      <c r="P254" s="41"/>
    </row>
    <row r="255" spans="13:16" ht="12.75">
      <c r="M255" s="41"/>
      <c r="N255" s="41"/>
      <c r="O255" s="41"/>
      <c r="P255" s="41"/>
    </row>
    <row r="256" spans="13:16" ht="12.75">
      <c r="M256" s="41"/>
      <c r="N256" s="41"/>
      <c r="O256" s="41"/>
      <c r="P256" s="41"/>
    </row>
    <row r="257" spans="13:16" ht="12.75">
      <c r="M257" s="41"/>
      <c r="N257" s="41"/>
      <c r="O257" s="41"/>
      <c r="P257" s="41"/>
    </row>
    <row r="258" spans="13:16" ht="12.75">
      <c r="M258" s="41"/>
      <c r="N258" s="41"/>
      <c r="O258" s="41"/>
      <c r="P258" s="41"/>
    </row>
    <row r="259" spans="13:16" ht="12.75">
      <c r="M259" s="41"/>
      <c r="N259" s="41"/>
      <c r="O259" s="41"/>
      <c r="P259" s="41"/>
    </row>
    <row r="260" spans="13:16" ht="12.75">
      <c r="M260" s="41"/>
      <c r="N260" s="41"/>
      <c r="O260" s="41"/>
      <c r="P260" s="41"/>
    </row>
    <row r="261" spans="13:16" ht="12.75">
      <c r="M261" s="41"/>
      <c r="N261" s="41"/>
      <c r="O261" s="41"/>
      <c r="P261" s="41"/>
    </row>
    <row r="262" spans="13:16" ht="12.75">
      <c r="M262" s="41"/>
      <c r="N262" s="41"/>
      <c r="O262" s="41"/>
      <c r="P262" s="41"/>
    </row>
    <row r="263" spans="13:16" ht="12.75">
      <c r="M263" s="41"/>
      <c r="N263" s="41"/>
      <c r="O263" s="41"/>
      <c r="P263" s="41"/>
    </row>
    <row r="264" spans="13:16" ht="12.75">
      <c r="M264" s="41"/>
      <c r="N264" s="41"/>
      <c r="O264" s="41"/>
      <c r="P264" s="41"/>
    </row>
    <row r="265" spans="13:16" ht="12.75">
      <c r="M265" s="41"/>
      <c r="N265" s="41"/>
      <c r="O265" s="41"/>
      <c r="P265" s="41"/>
    </row>
    <row r="266" spans="13:16" ht="12.75">
      <c r="M266" s="41"/>
      <c r="N266" s="41"/>
      <c r="O266" s="41"/>
      <c r="P266" s="41"/>
    </row>
    <row r="267" spans="13:16" ht="12.75">
      <c r="M267" s="41"/>
      <c r="N267" s="41"/>
      <c r="O267" s="41"/>
      <c r="P267" s="41"/>
    </row>
    <row r="268" spans="13:16" ht="12.75">
      <c r="M268" s="41"/>
      <c r="N268" s="41"/>
      <c r="O268" s="41"/>
      <c r="P268" s="41"/>
    </row>
    <row r="269" spans="13:16" ht="12.75">
      <c r="M269" s="41"/>
      <c r="N269" s="41"/>
      <c r="O269" s="41"/>
      <c r="P269" s="41"/>
    </row>
    <row r="270" spans="13:16" ht="12.75">
      <c r="M270" s="41"/>
      <c r="N270" s="41"/>
      <c r="O270" s="41"/>
      <c r="P270" s="41"/>
    </row>
    <row r="271" spans="13:16" ht="12.75">
      <c r="M271" s="41"/>
      <c r="N271" s="41"/>
      <c r="O271" s="41"/>
      <c r="P271" s="41"/>
    </row>
    <row r="272" spans="13:16" ht="12.75">
      <c r="M272" s="41"/>
      <c r="N272" s="41"/>
      <c r="O272" s="41"/>
      <c r="P272" s="41"/>
    </row>
    <row r="273" spans="13:16" ht="12.75">
      <c r="M273" s="41"/>
      <c r="N273" s="41"/>
      <c r="O273" s="41"/>
      <c r="P273" s="41"/>
    </row>
    <row r="274" spans="13:16" ht="12.75">
      <c r="M274" s="41"/>
      <c r="N274" s="41"/>
      <c r="O274" s="41"/>
      <c r="P274" s="41"/>
    </row>
    <row r="275" spans="13:16" ht="12.75">
      <c r="M275" s="41"/>
      <c r="N275" s="41"/>
      <c r="O275" s="41"/>
      <c r="P275" s="41"/>
    </row>
    <row r="276" spans="13:16" ht="12.75">
      <c r="M276" s="41"/>
      <c r="N276" s="41"/>
      <c r="O276" s="41"/>
      <c r="P276" s="41"/>
    </row>
    <row r="277" spans="13:16" ht="12.75">
      <c r="M277" s="41"/>
      <c r="N277" s="41"/>
      <c r="O277" s="41"/>
      <c r="P277" s="41"/>
    </row>
    <row r="278" spans="13:16" ht="12.75">
      <c r="M278" s="41"/>
      <c r="N278" s="41"/>
      <c r="O278" s="41"/>
      <c r="P278" s="41"/>
    </row>
    <row r="279" spans="13:16" ht="12.75">
      <c r="M279" s="41"/>
      <c r="N279" s="41"/>
      <c r="O279" s="41"/>
      <c r="P279" s="41"/>
    </row>
    <row r="280" spans="13:16" ht="12.75">
      <c r="M280" s="41"/>
      <c r="N280" s="41"/>
      <c r="O280" s="41"/>
      <c r="P280" s="41"/>
    </row>
    <row r="281" spans="13:16" ht="12.75">
      <c r="M281" s="41"/>
      <c r="N281" s="41"/>
      <c r="O281" s="41"/>
      <c r="P281" s="41"/>
    </row>
    <row r="282" spans="13:16" ht="12.75">
      <c r="M282" s="41"/>
      <c r="N282" s="41"/>
      <c r="O282" s="41"/>
      <c r="P282" s="41"/>
    </row>
    <row r="283" spans="13:16" ht="12.75">
      <c r="M283" s="41"/>
      <c r="N283" s="41"/>
      <c r="O283" s="41"/>
      <c r="P283" s="41"/>
    </row>
    <row r="284" spans="13:16" ht="12.75">
      <c r="M284" s="41"/>
      <c r="N284" s="41"/>
      <c r="O284" s="41"/>
      <c r="P284" s="41"/>
    </row>
    <row r="285" spans="13:16" ht="12.75">
      <c r="M285" s="41"/>
      <c r="N285" s="41"/>
      <c r="O285" s="41"/>
      <c r="P285" s="41"/>
    </row>
    <row r="286" spans="13:16" ht="12.75">
      <c r="M286" s="41"/>
      <c r="N286" s="41"/>
      <c r="O286" s="41"/>
      <c r="P286" s="41"/>
    </row>
    <row r="287" spans="13:16" ht="12.75">
      <c r="M287" s="41"/>
      <c r="N287" s="41"/>
      <c r="O287" s="41"/>
      <c r="P287" s="41"/>
    </row>
    <row r="288" spans="13:16" ht="12.75">
      <c r="M288" s="41"/>
      <c r="N288" s="41"/>
      <c r="O288" s="41"/>
      <c r="P288" s="41"/>
    </row>
    <row r="289" spans="13:16" ht="12.75">
      <c r="M289" s="41"/>
      <c r="N289" s="41"/>
      <c r="O289" s="41"/>
      <c r="P289" s="41"/>
    </row>
    <row r="290" spans="13:16" ht="12.75">
      <c r="M290" s="41"/>
      <c r="N290" s="41"/>
      <c r="O290" s="41"/>
      <c r="P290" s="41"/>
    </row>
    <row r="291" spans="13:16" ht="12.75">
      <c r="M291" s="41"/>
      <c r="N291" s="41"/>
      <c r="O291" s="41"/>
      <c r="P291" s="41"/>
    </row>
    <row r="292" spans="13:16" ht="12.75">
      <c r="M292" s="41"/>
      <c r="N292" s="41"/>
      <c r="O292" s="41"/>
      <c r="P292" s="41"/>
    </row>
    <row r="293" spans="13:16" ht="12.75">
      <c r="M293" s="41"/>
      <c r="N293" s="41"/>
      <c r="O293" s="41"/>
      <c r="P293" s="41"/>
    </row>
    <row r="294" spans="13:16" ht="12.75">
      <c r="M294" s="41"/>
      <c r="N294" s="41"/>
      <c r="O294" s="41"/>
      <c r="P294" s="41"/>
    </row>
    <row r="295" spans="13:16" ht="12.75">
      <c r="M295" s="41"/>
      <c r="N295" s="41"/>
      <c r="O295" s="41"/>
      <c r="P295" s="41"/>
    </row>
    <row r="296" spans="13:16" ht="12.75">
      <c r="M296" s="41"/>
      <c r="N296" s="41"/>
      <c r="O296" s="41"/>
      <c r="P296" s="41"/>
    </row>
    <row r="297" spans="13:16" ht="12.75">
      <c r="M297" s="41"/>
      <c r="N297" s="41"/>
      <c r="O297" s="41"/>
      <c r="P297" s="41"/>
    </row>
  </sheetData>
  <sheetProtection password="CAF5" sheet="1" objects="1" scenarios="1"/>
  <mergeCells count="10">
    <mergeCell ref="K6:K9"/>
    <mergeCell ref="C7:F7"/>
    <mergeCell ref="A1:P1"/>
    <mergeCell ref="A3:P3"/>
    <mergeCell ref="A4:P4"/>
    <mergeCell ref="H7:I7"/>
    <mergeCell ref="M6:P6"/>
    <mergeCell ref="M7:P7"/>
    <mergeCell ref="C6:J6"/>
    <mergeCell ref="G7:G9"/>
  </mergeCells>
  <printOptions horizontalCentered="1"/>
  <pageMargins left="0.47" right="0.59" top="0.83" bottom="1" header="0.67" footer="0.5"/>
  <pageSetup fitToHeight="1" fitToWidth="1" horizontalDpi="600" verticalDpi="600" orientation="landscape" scale="77" r:id="rId1"/>
  <headerFooter alignWithMargins="0">
    <oddFooter>&amp;L&amp;"Arial,Italic"&amp;9MSDE-DBS    10  / 2007&amp;C- 6 -&amp;R&amp;"Arial,Italic"&amp;9Selected Financial Data-Part 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4">
      <selection activeCell="H34" sqref="H34"/>
    </sheetView>
  </sheetViews>
  <sheetFormatPr defaultColWidth="9.140625" defaultRowHeight="12.75"/>
  <cols>
    <col min="1" max="1" width="14.421875" style="167" customWidth="1"/>
    <col min="2" max="2" width="16.140625" style="169" bestFit="1" customWidth="1"/>
    <col min="3" max="3" width="15.421875" style="168" customWidth="1"/>
    <col min="4" max="4" width="16.140625" style="167" customWidth="1"/>
    <col min="5" max="5" width="13.8515625" style="167" customWidth="1"/>
    <col min="6" max="6" width="12.28125" style="168" customWidth="1"/>
    <col min="7" max="7" width="1.421875" style="167" customWidth="1"/>
    <col min="8" max="8" width="13.7109375" style="167" customWidth="1"/>
    <col min="9" max="9" width="9.8515625" style="167" customWidth="1"/>
    <col min="10" max="10" width="11.00390625" style="167" customWidth="1"/>
    <col min="11" max="11" width="13.421875" style="167" customWidth="1"/>
    <col min="12" max="12" width="10.421875" style="167" bestFit="1" customWidth="1"/>
    <col min="13" max="13" width="11.7109375" style="167" customWidth="1"/>
    <col min="14" max="14" width="11.421875" style="167" bestFit="1" customWidth="1"/>
    <col min="15" max="15" width="11.28125" style="0" bestFit="1" customWidth="1"/>
    <col min="16" max="16" width="12.57421875" style="0" customWidth="1"/>
  </cols>
  <sheetData>
    <row r="1" spans="1:14" s="39" customFormat="1" ht="12.75">
      <c r="A1" s="452" t="s">
        <v>51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</row>
    <row r="2" spans="2:6" s="39" customFormat="1" ht="12.75">
      <c r="B2" s="189"/>
      <c r="C2" s="172"/>
      <c r="F2" s="172"/>
    </row>
    <row r="3" spans="1:14" s="39" customFormat="1" ht="12.75">
      <c r="A3" s="434" t="s">
        <v>255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</row>
    <row r="4" spans="2:14" s="39" customFormat="1" ht="13.5" thickBot="1">
      <c r="B4" s="124"/>
      <c r="C4" s="172"/>
      <c r="D4" s="188"/>
      <c r="E4" s="188"/>
      <c r="F4" s="190"/>
      <c r="G4" s="188"/>
      <c r="H4" s="188"/>
      <c r="I4" s="188"/>
      <c r="J4" s="188"/>
      <c r="K4" s="188"/>
      <c r="L4" s="188"/>
      <c r="M4" s="69"/>
      <c r="N4" s="69"/>
    </row>
    <row r="5" spans="1:14" s="39" customFormat="1" ht="15" customHeight="1" thickTop="1">
      <c r="A5" s="80"/>
      <c r="B5" s="191"/>
      <c r="C5" s="192"/>
      <c r="D5" s="435" t="s">
        <v>55</v>
      </c>
      <c r="E5" s="435"/>
      <c r="F5" s="435"/>
      <c r="G5" s="435"/>
      <c r="H5" s="435"/>
      <c r="I5" s="435"/>
      <c r="J5" s="435"/>
      <c r="K5" s="435"/>
      <c r="L5" s="435"/>
      <c r="M5" s="440"/>
      <c r="N5" s="440"/>
    </row>
    <row r="6" spans="1:14" s="39" customFormat="1" ht="12.75">
      <c r="A6" s="69"/>
      <c r="B6" s="193"/>
      <c r="C6" s="194" t="s">
        <v>52</v>
      </c>
      <c r="D6" s="433" t="s">
        <v>56</v>
      </c>
      <c r="E6" s="433"/>
      <c r="F6" s="433"/>
      <c r="G6" s="195"/>
      <c r="H6" s="433" t="s">
        <v>29</v>
      </c>
      <c r="I6" s="433"/>
      <c r="J6" s="433"/>
      <c r="K6" s="426" t="s">
        <v>181</v>
      </c>
      <c r="L6" s="433" t="s">
        <v>222</v>
      </c>
      <c r="M6" s="433"/>
      <c r="N6" s="433"/>
    </row>
    <row r="7" spans="1:14" s="39" customFormat="1" ht="12.75">
      <c r="A7" s="69" t="s">
        <v>99</v>
      </c>
      <c r="B7" s="106" t="s">
        <v>52</v>
      </c>
      <c r="C7" s="194" t="s">
        <v>63</v>
      </c>
      <c r="D7" s="74"/>
      <c r="E7" s="179" t="s">
        <v>236</v>
      </c>
      <c r="F7" s="429" t="s">
        <v>235</v>
      </c>
      <c r="G7" s="74"/>
      <c r="H7" s="69"/>
      <c r="I7" s="69"/>
      <c r="J7" s="74" t="s">
        <v>162</v>
      </c>
      <c r="K7" s="427"/>
      <c r="L7" s="74" t="s">
        <v>30</v>
      </c>
      <c r="M7" s="74" t="s">
        <v>31</v>
      </c>
      <c r="N7" s="69"/>
    </row>
    <row r="8" spans="1:14" s="39" customFormat="1" ht="12.75">
      <c r="A8" s="69" t="s">
        <v>41</v>
      </c>
      <c r="B8" s="196" t="s">
        <v>53</v>
      </c>
      <c r="C8" s="194" t="s">
        <v>64</v>
      </c>
      <c r="D8" s="74" t="s">
        <v>57</v>
      </c>
      <c r="E8" s="179" t="s">
        <v>237</v>
      </c>
      <c r="F8" s="430"/>
      <c r="G8" s="74"/>
      <c r="H8" s="74"/>
      <c r="I8" s="74"/>
      <c r="J8" s="74" t="s">
        <v>28</v>
      </c>
      <c r="K8" s="427"/>
      <c r="L8" s="74" t="s">
        <v>58</v>
      </c>
      <c r="M8" s="74" t="s">
        <v>59</v>
      </c>
      <c r="N8" s="74" t="s">
        <v>32</v>
      </c>
    </row>
    <row r="9" spans="1:14" s="39" customFormat="1" ht="13.5" thickBot="1">
      <c r="A9" s="84" t="s">
        <v>143</v>
      </c>
      <c r="B9" s="103" t="s">
        <v>54</v>
      </c>
      <c r="C9" s="197" t="s">
        <v>62</v>
      </c>
      <c r="D9" s="85" t="s">
        <v>25</v>
      </c>
      <c r="E9" s="180" t="s">
        <v>238</v>
      </c>
      <c r="F9" s="464"/>
      <c r="G9" s="86"/>
      <c r="H9" s="86" t="s">
        <v>25</v>
      </c>
      <c r="I9" s="86" t="s">
        <v>162</v>
      </c>
      <c r="J9" s="86" t="s">
        <v>163</v>
      </c>
      <c r="K9" s="428"/>
      <c r="L9" s="86" t="s">
        <v>49</v>
      </c>
      <c r="M9" s="86" t="s">
        <v>60</v>
      </c>
      <c r="N9" s="86" t="s">
        <v>33</v>
      </c>
    </row>
    <row r="10" spans="1:14" s="39" customFormat="1" ht="12.75">
      <c r="A10" s="69" t="s">
        <v>0</v>
      </c>
      <c r="B10" s="293">
        <f>SUM(B12:B39)</f>
        <v>4188756730.14</v>
      </c>
      <c r="C10" s="198">
        <f aca="true" t="shared" si="0" ref="C10:J10">SUM(C12:C39)</f>
        <v>3979367298.9800005</v>
      </c>
      <c r="D10" s="198">
        <f>SUM(D12:D39)</f>
        <v>2309696025.21</v>
      </c>
      <c r="E10" s="198">
        <f>SUM(E12:E39)</f>
        <v>23078900.26</v>
      </c>
      <c r="F10" s="398">
        <f t="shared" si="0"/>
        <v>0</v>
      </c>
      <c r="G10" s="198">
        <f t="shared" si="0"/>
        <v>0</v>
      </c>
      <c r="H10" s="198">
        <f>SUM(H12:H39)</f>
        <v>599904810.02</v>
      </c>
      <c r="I10" s="399">
        <f>SUM(I12:I39)</f>
        <v>0</v>
      </c>
      <c r="J10" s="83">
        <f t="shared" si="0"/>
        <v>0</v>
      </c>
      <c r="K10" s="295">
        <f>SUM(K12:K39)</f>
        <v>406876427</v>
      </c>
      <c r="L10" s="399">
        <f>SUM(L12:L39)</f>
        <v>0</v>
      </c>
      <c r="M10" s="399">
        <f>SUM(M12:M39)</f>
        <v>0</v>
      </c>
      <c r="N10" s="399">
        <f>SUM(N12:N39)</f>
        <v>0</v>
      </c>
    </row>
    <row r="11" spans="1:14" s="39" customFormat="1" ht="12.75">
      <c r="A11" s="69"/>
      <c r="B11" s="296"/>
      <c r="C11" s="172"/>
      <c r="D11" s="199"/>
      <c r="E11" s="199"/>
      <c r="F11" s="194"/>
      <c r="G11" s="199"/>
      <c r="H11" s="199"/>
      <c r="I11" s="199"/>
      <c r="J11" s="199"/>
      <c r="L11" s="199"/>
      <c r="M11" s="199"/>
      <c r="N11" s="199"/>
    </row>
    <row r="12" spans="1:15" s="39" customFormat="1" ht="12.75">
      <c r="A12" s="39" t="s">
        <v>1</v>
      </c>
      <c r="B12" s="114">
        <f>+C12+state5!B9+state5!D9+state5!F9</f>
        <v>77437700.56</v>
      </c>
      <c r="C12" s="73">
        <f>SUM(D12:N12)+SUM(state2!B12:L12)+SUM(state3!B13:K13)+SUM(state4!B12:N12)+SUM(state4a!B13:Q13)</f>
        <v>64804846.1</v>
      </c>
      <c r="D12" s="234">
        <v>36039712</v>
      </c>
      <c r="E12" s="234">
        <v>0</v>
      </c>
      <c r="F12" s="234">
        <v>0</v>
      </c>
      <c r="G12" s="77"/>
      <c r="H12" s="234">
        <v>13155991</v>
      </c>
      <c r="I12" s="234">
        <v>0</v>
      </c>
      <c r="J12" s="234">
        <v>0</v>
      </c>
      <c r="K12" s="229">
        <v>4323423</v>
      </c>
      <c r="L12" s="234">
        <v>0</v>
      </c>
      <c r="M12" s="234">
        <v>0</v>
      </c>
      <c r="N12" s="234">
        <v>0</v>
      </c>
      <c r="O12" s="238"/>
    </row>
    <row r="13" spans="1:14" s="39" customFormat="1" ht="12.75">
      <c r="A13" s="39" t="s">
        <v>2</v>
      </c>
      <c r="B13" s="114">
        <f>+C13+state5!B10+state5!D10+state5!F10</f>
        <v>250654091.84999996</v>
      </c>
      <c r="C13" s="73">
        <f>SUM(D13:N13)+SUM(state2!B13:L13)+SUM(state3!B14:K14)+SUM(state4!B13:N13)+SUM(state4a!B14:Q14)</f>
        <v>239759512.84999996</v>
      </c>
      <c r="D13" s="234">
        <v>146387404</v>
      </c>
      <c r="E13" s="234">
        <v>0</v>
      </c>
      <c r="F13" s="234">
        <v>0</v>
      </c>
      <c r="G13" s="73"/>
      <c r="H13" s="234">
        <v>19979821</v>
      </c>
      <c r="I13" s="234">
        <v>0</v>
      </c>
      <c r="J13" s="234">
        <v>0</v>
      </c>
      <c r="K13" s="229">
        <v>32027371</v>
      </c>
      <c r="L13" s="234">
        <v>0</v>
      </c>
      <c r="M13" s="234">
        <v>0</v>
      </c>
      <c r="N13" s="234">
        <v>0</v>
      </c>
    </row>
    <row r="14" spans="1:14" s="39" customFormat="1" ht="12.75">
      <c r="A14" s="39" t="s">
        <v>3</v>
      </c>
      <c r="B14" s="114">
        <f>+C14+state5!B11+state5!D11+state5!F11</f>
        <v>737208431.1899999</v>
      </c>
      <c r="C14" s="73">
        <f>SUM(D14:N14)+SUM(state2!B14:L14)+SUM(state3!B15:K15)+SUM(state4!B14:N14)+SUM(state4a!B15:Q15)</f>
        <v>717755905.53</v>
      </c>
      <c r="D14" s="73">
        <v>346036645.2</v>
      </c>
      <c r="E14" s="234">
        <v>20775536.26</v>
      </c>
      <c r="F14" s="297"/>
      <c r="G14" s="73"/>
      <c r="H14" s="234">
        <v>200152080</v>
      </c>
      <c r="I14" s="234">
        <v>0</v>
      </c>
      <c r="J14" s="234">
        <v>0</v>
      </c>
      <c r="K14" s="229">
        <v>41966180</v>
      </c>
      <c r="L14" s="234">
        <v>0</v>
      </c>
      <c r="M14" s="234">
        <v>0</v>
      </c>
      <c r="N14" s="234">
        <v>0</v>
      </c>
    </row>
    <row r="15" spans="1:14" s="39" customFormat="1" ht="12.75">
      <c r="A15" s="39" t="s">
        <v>4</v>
      </c>
      <c r="B15" s="114">
        <f>+C15+state5!B12+state5!D12+state5!F12</f>
        <v>457929686.88</v>
      </c>
      <c r="C15" s="73">
        <f>SUM(D15:N15)+SUM(state2!B15:L15)+SUM(state3!B16:K16)+SUM(state4!B15:N15)+SUM(state4a!B16:Q16)</f>
        <v>439043742.65</v>
      </c>
      <c r="D15" s="234">
        <v>266320664</v>
      </c>
      <c r="E15" s="234">
        <v>0</v>
      </c>
      <c r="F15" s="234">
        <v>0</v>
      </c>
      <c r="G15" s="73"/>
      <c r="H15" s="234">
        <v>51396146</v>
      </c>
      <c r="I15" s="234">
        <v>0</v>
      </c>
      <c r="J15" s="234">
        <v>0</v>
      </c>
      <c r="K15" s="229">
        <v>49430517</v>
      </c>
      <c r="L15" s="234">
        <v>0</v>
      </c>
      <c r="M15" s="234">
        <v>0</v>
      </c>
      <c r="N15" s="234">
        <v>0</v>
      </c>
    </row>
    <row r="16" spans="1:14" s="39" customFormat="1" ht="12.75">
      <c r="A16" s="39" t="s">
        <v>5</v>
      </c>
      <c r="B16" s="114">
        <f>+C16+state5!B13+state5!D13+state5!F13</f>
        <v>80276970.31</v>
      </c>
      <c r="C16" s="73">
        <f>SUM(D16:N16)+SUM(state2!B16:L16)+SUM(state3!B17:K17)+SUM(state4!B16:N16)+SUM(state4a!B17:Q17)</f>
        <v>74973899.66</v>
      </c>
      <c r="D16" s="234">
        <v>52018867.01</v>
      </c>
      <c r="E16" s="234">
        <v>0</v>
      </c>
      <c r="F16" s="234">
        <v>0</v>
      </c>
      <c r="G16" s="73"/>
      <c r="H16" s="234">
        <v>4453717.99</v>
      </c>
      <c r="I16" s="234">
        <v>0</v>
      </c>
      <c r="J16" s="234">
        <v>0</v>
      </c>
      <c r="K16" s="229">
        <v>8274809</v>
      </c>
      <c r="L16" s="234">
        <v>0</v>
      </c>
      <c r="M16" s="234">
        <v>0</v>
      </c>
      <c r="N16" s="234">
        <v>0</v>
      </c>
    </row>
    <row r="17" spans="2:14" s="39" customFormat="1" ht="12.75">
      <c r="B17" s="114"/>
      <c r="C17" s="73"/>
      <c r="D17" s="234"/>
      <c r="E17" s="234"/>
      <c r="F17" s="297"/>
      <c r="G17" s="73"/>
      <c r="H17" s="234"/>
      <c r="I17" s="234"/>
      <c r="J17" s="234"/>
      <c r="K17" s="229"/>
      <c r="L17" s="234"/>
      <c r="M17" s="234"/>
      <c r="N17" s="234"/>
    </row>
    <row r="18" spans="1:14" s="39" customFormat="1" ht="12.75">
      <c r="A18" s="39" t="s">
        <v>6</v>
      </c>
      <c r="B18" s="114">
        <f>+C18+state5!B15+state5!D15+state5!F15</f>
        <v>37745240.76</v>
      </c>
      <c r="C18" s="73">
        <f>SUM(D18:N18)+SUM(state2!B18:L18)+SUM(state3!B19:K19)+SUM(state4!B18:N18)+SUM(state4a!B19:Q19)</f>
        <v>34209098.07</v>
      </c>
      <c r="D18" s="234">
        <v>19702576</v>
      </c>
      <c r="E18" s="234">
        <v>438180</v>
      </c>
      <c r="F18" s="234">
        <v>0</v>
      </c>
      <c r="G18" s="73"/>
      <c r="H18" s="234">
        <v>6604914</v>
      </c>
      <c r="I18" s="234">
        <v>0</v>
      </c>
      <c r="J18" s="234">
        <v>0</v>
      </c>
      <c r="K18" s="229">
        <v>2421185</v>
      </c>
      <c r="L18" s="234">
        <v>0</v>
      </c>
      <c r="M18" s="234">
        <v>0</v>
      </c>
      <c r="N18" s="234">
        <v>0</v>
      </c>
    </row>
    <row r="19" spans="1:14" s="39" customFormat="1" ht="12.75">
      <c r="A19" s="39" t="s">
        <v>7</v>
      </c>
      <c r="B19" s="114">
        <f>+C19+state5!B16+state5!D16+state5!F16</f>
        <v>131279416.75999999</v>
      </c>
      <c r="C19" s="73">
        <f>SUM(D19:N19)+SUM(state2!B19:L19)+SUM(state3!B20:K20)+SUM(state4!B19:N19)+SUM(state4a!B20:Q20)</f>
        <v>124237957.75999999</v>
      </c>
      <c r="D19" s="234">
        <v>88992764</v>
      </c>
      <c r="E19" s="234">
        <v>0</v>
      </c>
      <c r="F19" s="234">
        <v>0</v>
      </c>
      <c r="G19" s="73"/>
      <c r="H19" s="234">
        <v>5228585</v>
      </c>
      <c r="I19" s="234">
        <v>0</v>
      </c>
      <c r="J19" s="234">
        <v>0</v>
      </c>
      <c r="K19" s="229">
        <v>12180637</v>
      </c>
      <c r="L19" s="234">
        <v>0</v>
      </c>
      <c r="M19" s="234">
        <v>0</v>
      </c>
      <c r="N19" s="234">
        <v>0</v>
      </c>
    </row>
    <row r="20" spans="1:14" s="39" customFormat="1" ht="12.75">
      <c r="A20" s="39" t="s">
        <v>8</v>
      </c>
      <c r="B20" s="114">
        <f>+C20+state5!B17+state5!D17+state5!F17</f>
        <v>99185410.22000001</v>
      </c>
      <c r="C20" s="73">
        <f>SUM(D20:N20)+SUM(state2!B20:L20)+SUM(state3!B21:K21)+SUM(state4!B20:N20)+SUM(state4a!B21:Q21)</f>
        <v>83794432.68</v>
      </c>
      <c r="D20" s="234">
        <v>54090832</v>
      </c>
      <c r="E20" s="234">
        <v>0</v>
      </c>
      <c r="F20" s="234">
        <v>0</v>
      </c>
      <c r="G20" s="73"/>
      <c r="H20" s="234">
        <v>9430265</v>
      </c>
      <c r="I20" s="234">
        <v>0</v>
      </c>
      <c r="J20" s="234">
        <v>0</v>
      </c>
      <c r="K20" s="229">
        <v>7123762</v>
      </c>
      <c r="L20" s="234">
        <v>0</v>
      </c>
      <c r="M20" s="234">
        <v>0</v>
      </c>
      <c r="N20" s="234">
        <v>0</v>
      </c>
    </row>
    <row r="21" spans="1:14" s="39" customFormat="1" ht="12.75">
      <c r="A21" s="39" t="s">
        <v>9</v>
      </c>
      <c r="B21" s="114">
        <f>+C21+state5!B18+state5!D18+state5!F18</f>
        <v>129990569.08000001</v>
      </c>
      <c r="C21" s="73">
        <f>SUM(D21:N21)+SUM(state2!B21:L21)+SUM(state3!B22:K22)+SUM(state4!B21:N21)+SUM(state4a!B22:Q22)</f>
        <v>122740000.19000001</v>
      </c>
      <c r="D21" s="234">
        <v>83563705</v>
      </c>
      <c r="E21" s="234">
        <v>0</v>
      </c>
      <c r="F21" s="234">
        <v>0</v>
      </c>
      <c r="G21" s="73"/>
      <c r="H21" s="234">
        <v>12191445</v>
      </c>
      <c r="I21" s="234">
        <v>0</v>
      </c>
      <c r="J21" s="234">
        <v>0</v>
      </c>
      <c r="K21" s="229">
        <v>10436054</v>
      </c>
      <c r="L21" s="234">
        <v>0</v>
      </c>
      <c r="M21" s="234">
        <v>0</v>
      </c>
      <c r="N21" s="234">
        <v>0</v>
      </c>
    </row>
    <row r="22" spans="1:14" s="39" customFormat="1" ht="12.75">
      <c r="A22" s="39" t="s">
        <v>10</v>
      </c>
      <c r="B22" s="114">
        <f>+C22+state5!B19+state5!D19+state5!F19</f>
        <v>27463028.309999995</v>
      </c>
      <c r="C22" s="73">
        <f>SUM(D22:N22)+SUM(state2!B22:L22)+SUM(state3!B23:K23)+SUM(state4!B22:N22)+SUM(state4a!B23:Q23)</f>
        <v>26101929.309999995</v>
      </c>
      <c r="D22" s="227">
        <v>15037128</v>
      </c>
      <c r="E22" s="227">
        <v>0</v>
      </c>
      <c r="F22" s="227">
        <v>0</v>
      </c>
      <c r="G22" s="114"/>
      <c r="H22" s="227">
        <v>4932142</v>
      </c>
      <c r="I22" s="227">
        <v>0</v>
      </c>
      <c r="J22" s="227">
        <v>0</v>
      </c>
      <c r="K22" s="229">
        <v>2145324</v>
      </c>
      <c r="L22" s="227">
        <v>0</v>
      </c>
      <c r="M22" s="227">
        <v>0</v>
      </c>
      <c r="N22" s="227">
        <v>0</v>
      </c>
    </row>
    <row r="23" spans="2:14" s="39" customFormat="1" ht="12.75">
      <c r="B23" s="114"/>
      <c r="C23" s="73"/>
      <c r="D23" s="234"/>
      <c r="E23" s="234"/>
      <c r="F23" s="234"/>
      <c r="G23" s="73"/>
      <c r="H23" s="234"/>
      <c r="I23" s="234"/>
      <c r="J23" s="234"/>
      <c r="K23" s="229"/>
      <c r="L23" s="234"/>
      <c r="M23" s="234"/>
      <c r="N23" s="234"/>
    </row>
    <row r="24" spans="1:14" s="39" customFormat="1" ht="12.75">
      <c r="A24" s="39" t="s">
        <v>11</v>
      </c>
      <c r="B24" s="114">
        <f>+C24+state5!B21+state5!D21+state5!F21</f>
        <v>177087168.98000002</v>
      </c>
      <c r="C24" s="73">
        <f>SUM(D24:N24)+SUM(state2!B24:L24)+SUM(state3!B25:K25)+SUM(state4!B24:N24)+SUM(state4a!B25:Q25)</f>
        <v>168027285.98000002</v>
      </c>
      <c r="D24" s="234">
        <v>119013069</v>
      </c>
      <c r="E24" s="234">
        <v>0</v>
      </c>
      <c r="F24" s="234">
        <v>0</v>
      </c>
      <c r="G24" s="73"/>
      <c r="H24" s="234">
        <v>11069165</v>
      </c>
      <c r="I24" s="234">
        <v>0</v>
      </c>
      <c r="J24" s="234">
        <v>0</v>
      </c>
      <c r="K24" s="229">
        <v>16443791</v>
      </c>
      <c r="L24" s="234">
        <v>0</v>
      </c>
      <c r="M24" s="234">
        <v>0</v>
      </c>
      <c r="N24" s="234">
        <v>0</v>
      </c>
    </row>
    <row r="25" spans="1:14" s="39" customFormat="1" ht="12.75">
      <c r="A25" s="39" t="s">
        <v>12</v>
      </c>
      <c r="B25" s="114">
        <f>+C25+state5!B22+state5!D22+state5!F22</f>
        <v>23759895.85</v>
      </c>
      <c r="C25" s="73">
        <f>SUM(D25:N25)+SUM(state2!B25:L25)+SUM(state3!B26:K26)+SUM(state4!B25:N25)+SUM(state4a!B26:Q26)</f>
        <v>23590749.85</v>
      </c>
      <c r="D25" s="234">
        <v>13553604</v>
      </c>
      <c r="E25" s="234">
        <v>0</v>
      </c>
      <c r="F25" s="234">
        <v>0</v>
      </c>
      <c r="G25" s="73"/>
      <c r="H25" s="234">
        <v>3600431</v>
      </c>
      <c r="I25" s="234">
        <v>0</v>
      </c>
      <c r="J25" s="234">
        <v>0</v>
      </c>
      <c r="K25" s="229">
        <v>2198065</v>
      </c>
      <c r="L25" s="234">
        <v>0</v>
      </c>
      <c r="M25" s="234">
        <v>0</v>
      </c>
      <c r="N25" s="234">
        <v>0</v>
      </c>
    </row>
    <row r="26" spans="1:14" s="39" customFormat="1" ht="12.75">
      <c r="A26" s="39" t="s">
        <v>13</v>
      </c>
      <c r="B26" s="114">
        <f>+C26+state5!B23+state5!D23+state5!F23</f>
        <v>188703668.4</v>
      </c>
      <c r="C26" s="73">
        <f>SUM(D26:N26)+SUM(state2!B26:L26)+SUM(state3!B27:K27)+SUM(state4!B26:N26)+SUM(state4a!B27:Q27)</f>
        <v>181556230.4</v>
      </c>
      <c r="D26" s="234">
        <v>124102300</v>
      </c>
      <c r="E26" s="234">
        <v>0</v>
      </c>
      <c r="F26" s="234">
        <v>0</v>
      </c>
      <c r="G26" s="73"/>
      <c r="H26" s="234">
        <v>15035054</v>
      </c>
      <c r="I26" s="234">
        <v>0</v>
      </c>
      <c r="J26" s="234">
        <v>0</v>
      </c>
      <c r="K26" s="229">
        <v>16388211</v>
      </c>
      <c r="L26" s="234">
        <v>0</v>
      </c>
      <c r="M26" s="234">
        <v>0</v>
      </c>
      <c r="N26" s="234">
        <v>0</v>
      </c>
    </row>
    <row r="27" spans="1:14" s="39" customFormat="1" ht="12.75">
      <c r="A27" s="39" t="s">
        <v>14</v>
      </c>
      <c r="B27" s="114">
        <f>+C27+state5!B24+state5!D24+state5!F24</f>
        <v>181901365.67</v>
      </c>
      <c r="C27" s="73">
        <f>SUM(D27:N27)+SUM(state2!B27:L27)+SUM(state3!B28:K28)+SUM(state4!B27:N27)+SUM(state4a!B28:Q28)</f>
        <v>166144154.29999998</v>
      </c>
      <c r="D27" s="234">
        <v>107723535</v>
      </c>
      <c r="E27" s="234">
        <v>0</v>
      </c>
      <c r="F27" s="297">
        <v>0</v>
      </c>
      <c r="G27" s="73"/>
      <c r="H27" s="234">
        <v>8009067.03</v>
      </c>
      <c r="I27" s="234">
        <v>0</v>
      </c>
      <c r="J27" s="234">
        <v>0</v>
      </c>
      <c r="K27" s="229">
        <v>26291214</v>
      </c>
      <c r="L27" s="234">
        <v>0</v>
      </c>
      <c r="M27" s="234">
        <v>0</v>
      </c>
      <c r="N27" s="234">
        <v>0</v>
      </c>
    </row>
    <row r="28" spans="1:14" s="39" customFormat="1" ht="12.75">
      <c r="A28" s="39" t="s">
        <v>15</v>
      </c>
      <c r="B28" s="114">
        <f>+C28+state5!B25+state5!D25+state5!F25</f>
        <v>11487461.780000001</v>
      </c>
      <c r="C28" s="73">
        <f>SUM(D28:N28)+SUM(state2!B28:L28)+SUM(state3!B29:K29)+SUM(state4!B28:N28)+SUM(state4a!B29:Q29)</f>
        <v>9566206.780000001</v>
      </c>
      <c r="D28" s="234">
        <v>4783031</v>
      </c>
      <c r="E28" s="234">
        <v>0</v>
      </c>
      <c r="F28" s="227">
        <v>0</v>
      </c>
      <c r="G28" s="73"/>
      <c r="H28" s="234">
        <v>1421556</v>
      </c>
      <c r="I28" s="227">
        <v>0</v>
      </c>
      <c r="J28" s="227">
        <v>0</v>
      </c>
      <c r="K28" s="229">
        <v>1286179</v>
      </c>
      <c r="L28" s="227">
        <v>0</v>
      </c>
      <c r="M28" s="227">
        <v>0</v>
      </c>
      <c r="N28" s="227">
        <v>0</v>
      </c>
    </row>
    <row r="29" spans="2:14" s="39" customFormat="1" ht="12.75">
      <c r="B29" s="114"/>
      <c r="C29" s="73"/>
      <c r="D29" s="234"/>
      <c r="E29" s="234"/>
      <c r="F29" s="234"/>
      <c r="G29" s="73"/>
      <c r="H29" s="234"/>
      <c r="I29" s="234"/>
      <c r="J29" s="234"/>
      <c r="K29" s="73"/>
      <c r="L29" s="234"/>
      <c r="M29" s="234"/>
      <c r="N29" s="234"/>
    </row>
    <row r="30" spans="1:14" s="39" customFormat="1" ht="12.75">
      <c r="A30" s="39" t="s">
        <v>16</v>
      </c>
      <c r="B30" s="114">
        <f>+C30+state5!B27+state5!D27+state5!F27</f>
        <v>418717533.46</v>
      </c>
      <c r="C30" s="73">
        <f>SUM(D30:N30)+SUM(state2!B30:L30)+SUM(state3!B31:K31)+SUM(state4!B30:N30)+SUM(state4a!B31:Q31)</f>
        <v>389040900.06</v>
      </c>
      <c r="D30" s="234">
        <v>174068721</v>
      </c>
      <c r="E30" s="234">
        <v>0</v>
      </c>
      <c r="F30" s="234">
        <v>0</v>
      </c>
      <c r="G30" s="73"/>
      <c r="H30" s="227">
        <v>45921302</v>
      </c>
      <c r="I30" s="234">
        <v>0</v>
      </c>
      <c r="J30" s="234">
        <v>0</v>
      </c>
      <c r="K30" s="229">
        <v>84294349</v>
      </c>
      <c r="L30" s="234">
        <v>0</v>
      </c>
      <c r="M30" s="234">
        <v>0</v>
      </c>
      <c r="N30" s="234">
        <v>0</v>
      </c>
    </row>
    <row r="31" spans="1:14" s="39" customFormat="1" ht="12.75">
      <c r="A31" s="39" t="s">
        <v>17</v>
      </c>
      <c r="B31" s="114">
        <f>+C31+state5!B28+state5!D28+state5!F28</f>
        <v>794968196</v>
      </c>
      <c r="C31" s="73">
        <f>SUM(D31:N31)+SUM(state2!B31:L31)+SUM(state3!B32:K32)+SUM(state4!B31:N31)+SUM(state4a!B32:Q32)</f>
        <v>771379538.54</v>
      </c>
      <c r="D31" s="234">
        <v>449835655</v>
      </c>
      <c r="E31" s="234">
        <v>0</v>
      </c>
      <c r="F31" s="234">
        <v>0</v>
      </c>
      <c r="G31" s="73"/>
      <c r="H31" s="234">
        <v>137929554</v>
      </c>
      <c r="I31" s="234">
        <v>0</v>
      </c>
      <c r="J31" s="234">
        <v>0</v>
      </c>
      <c r="K31" s="229">
        <v>56793155</v>
      </c>
      <c r="L31" s="234">
        <v>0</v>
      </c>
      <c r="M31" s="234">
        <v>0</v>
      </c>
      <c r="N31" s="234">
        <v>0</v>
      </c>
    </row>
    <row r="32" spans="1:14" s="39" customFormat="1" ht="12.75">
      <c r="A32" s="39" t="s">
        <v>18</v>
      </c>
      <c r="B32" s="114">
        <f>+C32+state5!B29+state5!D29+state5!F29</f>
        <v>32751426.16</v>
      </c>
      <c r="C32" s="73">
        <f>SUM(D32:N32)+SUM(state2!B32:L32)+SUM(state3!B33:K33)+SUM(state4!B32:N32)+SUM(state4a!B33:Q33)</f>
        <v>27123753.74</v>
      </c>
      <c r="D32" s="234">
        <v>16981764</v>
      </c>
      <c r="E32" s="234">
        <v>0</v>
      </c>
      <c r="F32" s="234">
        <v>0</v>
      </c>
      <c r="G32" s="73"/>
      <c r="H32" s="234">
        <v>1700809</v>
      </c>
      <c r="I32" s="234">
        <v>0</v>
      </c>
      <c r="J32" s="234">
        <v>0</v>
      </c>
      <c r="K32" s="229">
        <v>3236433</v>
      </c>
      <c r="L32" s="234">
        <v>0</v>
      </c>
      <c r="M32" s="234">
        <v>0</v>
      </c>
      <c r="N32" s="234">
        <v>0</v>
      </c>
    </row>
    <row r="33" spans="1:14" s="39" customFormat="1" ht="12.75">
      <c r="A33" s="39" t="s">
        <v>19</v>
      </c>
      <c r="B33" s="114">
        <f>+C33+state5!B30+state5!D30+state5!F30</f>
        <v>83563717.30999999</v>
      </c>
      <c r="C33" s="73">
        <f>SUM(D33:N33)+SUM(state2!B33:L33)+SUM(state3!B34:K34)+SUM(state4!B33:N33)+SUM(state4a!B34:Q34)</f>
        <v>77832922.89999999</v>
      </c>
      <c r="D33" s="234">
        <v>51606443</v>
      </c>
      <c r="E33" s="234">
        <v>0</v>
      </c>
      <c r="F33" s="234">
        <v>0</v>
      </c>
      <c r="G33" s="73"/>
      <c r="H33" s="234">
        <v>7681509</v>
      </c>
      <c r="I33" s="234">
        <v>0</v>
      </c>
      <c r="J33" s="234">
        <v>0</v>
      </c>
      <c r="K33" s="229">
        <v>6935380</v>
      </c>
      <c r="L33" s="234">
        <v>0</v>
      </c>
      <c r="M33" s="234">
        <v>0</v>
      </c>
      <c r="N33" s="234">
        <v>0</v>
      </c>
    </row>
    <row r="34" spans="1:14" s="39" customFormat="1" ht="12.75">
      <c r="A34" s="39" t="s">
        <v>20</v>
      </c>
      <c r="B34" s="114">
        <f>+C34+state5!B31+state5!D31+state5!F31</f>
        <v>20259065.189999998</v>
      </c>
      <c r="C34" s="73">
        <f>SUM(D34:N34)+SUM(state2!B34:L34)+SUM(state3!B35:K35)+SUM(state4!B34:N34)+SUM(state4a!B35:Q35)</f>
        <v>20201379.659999996</v>
      </c>
      <c r="D34" s="234">
        <v>10527207</v>
      </c>
      <c r="E34" s="234">
        <v>0</v>
      </c>
      <c r="F34" s="227">
        <v>0</v>
      </c>
      <c r="G34" s="73"/>
      <c r="H34" s="234">
        <v>4667444</v>
      </c>
      <c r="I34" s="227">
        <v>0</v>
      </c>
      <c r="J34" s="227">
        <v>0</v>
      </c>
      <c r="K34" s="229">
        <v>1395584</v>
      </c>
      <c r="L34" s="227">
        <v>0</v>
      </c>
      <c r="M34" s="227">
        <v>0</v>
      </c>
      <c r="N34" s="227">
        <v>0</v>
      </c>
    </row>
    <row r="35" spans="2:14" s="39" customFormat="1" ht="12.75">
      <c r="B35" s="114"/>
      <c r="C35" s="73"/>
      <c r="D35" s="234"/>
      <c r="E35" s="234"/>
      <c r="F35" s="234"/>
      <c r="G35" s="73"/>
      <c r="H35" s="234"/>
      <c r="I35" s="234"/>
      <c r="J35" s="234"/>
      <c r="K35" s="229"/>
      <c r="L35" s="234"/>
      <c r="M35" s="234"/>
      <c r="N35" s="234"/>
    </row>
    <row r="36" spans="1:14" s="39" customFormat="1" ht="12.75">
      <c r="A36" s="39" t="s">
        <v>21</v>
      </c>
      <c r="B36" s="114">
        <f>+C36+state5!B33+state5!D33+state5!F33</f>
        <v>12140444.180000002</v>
      </c>
      <c r="C36" s="73">
        <f>SUM(D36:N36)+SUM(state2!B36:L36)+SUM(state3!B37:K37)+SUM(state4!B36:N36)+SUM(state4a!B37:Q37)</f>
        <v>11926590.540000001</v>
      </c>
      <c r="D36" s="234">
        <v>5168745</v>
      </c>
      <c r="E36" s="234">
        <v>0</v>
      </c>
      <c r="F36" s="234">
        <v>0</v>
      </c>
      <c r="G36" s="73"/>
      <c r="H36" s="234">
        <v>1869904</v>
      </c>
      <c r="I36" s="234">
        <v>0</v>
      </c>
      <c r="J36" s="234">
        <v>0</v>
      </c>
      <c r="K36" s="229">
        <v>2150165</v>
      </c>
      <c r="L36" s="234">
        <v>0</v>
      </c>
      <c r="M36" s="234">
        <v>0</v>
      </c>
      <c r="N36" s="234">
        <v>0</v>
      </c>
    </row>
    <row r="37" spans="1:14" s="39" customFormat="1" ht="12.75">
      <c r="A37" s="39" t="s">
        <v>22</v>
      </c>
      <c r="B37" s="114">
        <f>+C37+state5!B34+state5!D34+state5!F34</f>
        <v>105754670.75999999</v>
      </c>
      <c r="C37" s="73">
        <f>SUM(D37:N37)+SUM(state2!B37:L37)+SUM(state3!B38:K38)+SUM(state4!B37:N37)+SUM(state4a!B38:Q38)</f>
        <v>103764681.75999999</v>
      </c>
      <c r="D37" s="234">
        <v>66995474</v>
      </c>
      <c r="E37" s="234">
        <v>0</v>
      </c>
      <c r="F37" s="234">
        <v>0</v>
      </c>
      <c r="G37" s="73"/>
      <c r="H37" s="234">
        <v>15072807</v>
      </c>
      <c r="I37" s="234">
        <v>0</v>
      </c>
      <c r="J37" s="73">
        <v>0</v>
      </c>
      <c r="K37" s="229">
        <v>8679057</v>
      </c>
      <c r="L37" s="234">
        <v>0</v>
      </c>
      <c r="M37" s="234">
        <v>0</v>
      </c>
      <c r="N37" s="234">
        <v>0</v>
      </c>
    </row>
    <row r="38" spans="1:14" s="39" customFormat="1" ht="12.75">
      <c r="A38" s="39" t="s">
        <v>23</v>
      </c>
      <c r="B38" s="114">
        <f>+C38+state5!B35+state5!D35+state5!F35</f>
        <v>87525117.28999999</v>
      </c>
      <c r="C38" s="73">
        <f>SUM(D38:N38)+SUM(state2!B38:L38)+SUM(state3!B39:K39)+SUM(state4!B38:N38)+SUM(state4a!B39:Q39)</f>
        <v>83177960.11999999</v>
      </c>
      <c r="D38" s="234">
        <v>49456652</v>
      </c>
      <c r="E38" s="234">
        <v>1865184</v>
      </c>
      <c r="F38" s="234">
        <v>0</v>
      </c>
      <c r="G38" s="73"/>
      <c r="H38" s="234">
        <v>15139024</v>
      </c>
      <c r="I38" s="234">
        <v>0</v>
      </c>
      <c r="J38" s="73"/>
      <c r="K38" s="229">
        <v>6782478</v>
      </c>
      <c r="L38" s="234">
        <v>0</v>
      </c>
      <c r="M38" s="234">
        <v>0</v>
      </c>
      <c r="N38" s="234">
        <v>0</v>
      </c>
    </row>
    <row r="39" spans="1:14" s="39" customFormat="1" ht="12.75">
      <c r="A39" s="91" t="s">
        <v>24</v>
      </c>
      <c r="B39" s="242">
        <f>+C39+state5!B36+state5!D36+state5!F36</f>
        <v>20966453.189999998</v>
      </c>
      <c r="C39" s="237">
        <f>SUM(D39:N39)+SUM(state2!B39:L39)+SUM(state3!B40:K40)+SUM(state4!B39:N39)+SUM(state4a!B40:Q40)</f>
        <v>18613619.55</v>
      </c>
      <c r="D39" s="239">
        <v>7689528</v>
      </c>
      <c r="E39" s="237">
        <v>0</v>
      </c>
      <c r="F39" s="237">
        <v>0</v>
      </c>
      <c r="G39" s="237"/>
      <c r="H39" s="308">
        <v>3262077</v>
      </c>
      <c r="I39" s="237">
        <v>0</v>
      </c>
      <c r="J39" s="237">
        <v>0</v>
      </c>
      <c r="K39" s="242">
        <v>3673104</v>
      </c>
      <c r="L39" s="237">
        <v>0</v>
      </c>
      <c r="M39" s="237">
        <v>0</v>
      </c>
      <c r="N39" s="237">
        <v>0</v>
      </c>
    </row>
    <row r="40" spans="2:9" s="39" customFormat="1" ht="12.75">
      <c r="B40" s="124"/>
      <c r="C40" s="172"/>
      <c r="F40" s="172"/>
      <c r="H40" s="200"/>
      <c r="I40" s="200"/>
    </row>
    <row r="41" spans="2:9" s="39" customFormat="1" ht="12.75">
      <c r="B41" s="124"/>
      <c r="C41" s="172"/>
      <c r="F41" s="172"/>
      <c r="H41" s="200"/>
      <c r="I41" s="200"/>
    </row>
    <row r="42" spans="2:9" s="39" customFormat="1" ht="12.75">
      <c r="B42" s="124"/>
      <c r="C42" s="172"/>
      <c r="D42" s="198">
        <v>2309696025.21</v>
      </c>
      <c r="F42" s="172"/>
      <c r="H42" s="200"/>
      <c r="I42" s="200"/>
    </row>
    <row r="43" spans="2:9" s="39" customFormat="1" ht="12.75">
      <c r="B43" s="124"/>
      <c r="C43" s="172"/>
      <c r="D43" s="39">
        <v>23078900.26</v>
      </c>
      <c r="F43" s="172"/>
      <c r="H43" s="200"/>
      <c r="I43" s="200"/>
    </row>
    <row r="44" spans="2:9" s="39" customFormat="1" ht="12.75">
      <c r="B44" s="124"/>
      <c r="C44" s="172"/>
      <c r="D44" s="39">
        <v>599904810.02</v>
      </c>
      <c r="F44" s="172"/>
      <c r="H44" s="200"/>
      <c r="I44" s="200"/>
    </row>
    <row r="45" spans="2:9" s="39" customFormat="1" ht="12.75">
      <c r="B45" s="124"/>
      <c r="C45" s="172"/>
      <c r="D45" s="39">
        <v>0</v>
      </c>
      <c r="F45" s="172"/>
      <c r="H45" s="200"/>
      <c r="I45" s="200"/>
    </row>
    <row r="46" spans="2:9" s="39" customFormat="1" ht="13.5" thickBot="1">
      <c r="B46" s="124"/>
      <c r="C46" s="172"/>
      <c r="D46" s="359">
        <f>SUM(D42:D45)</f>
        <v>2932679735.4900002</v>
      </c>
      <c r="F46" s="172"/>
      <c r="H46" s="200"/>
      <c r="I46" s="200"/>
    </row>
    <row r="47" spans="8:9" ht="13.5" thickTop="1">
      <c r="H47" s="170"/>
      <c r="I47" s="170"/>
    </row>
    <row r="48" spans="4:9" ht="12.75">
      <c r="D48" s="420">
        <f>D46/C10</f>
        <v>0.7369713613120635</v>
      </c>
      <c r="H48" s="170"/>
      <c r="I48" s="170"/>
    </row>
    <row r="49" spans="8:9" ht="12.75">
      <c r="H49" s="170"/>
      <c r="I49" s="170"/>
    </row>
    <row r="50" spans="8:9" ht="12.75">
      <c r="H50" s="170"/>
      <c r="I50" s="170"/>
    </row>
    <row r="51" spans="8:9" ht="12.75">
      <c r="H51" s="171"/>
      <c r="I51" s="171"/>
    </row>
  </sheetData>
  <sheetProtection password="CAF5" sheet="1" objects="1" scenarios="1"/>
  <mergeCells count="8">
    <mergeCell ref="L6:N6"/>
    <mergeCell ref="A1:N1"/>
    <mergeCell ref="A3:N3"/>
    <mergeCell ref="D5:N5"/>
    <mergeCell ref="D6:F6"/>
    <mergeCell ref="H6:J6"/>
    <mergeCell ref="K6:K9"/>
    <mergeCell ref="F7:F9"/>
  </mergeCells>
  <printOptions horizontalCentered="1"/>
  <pageMargins left="0.34" right="0.27" top="0.83" bottom="1" header="0.67" footer="0.5"/>
  <pageSetup horizontalDpi="600" verticalDpi="600" orientation="landscape" scale="77" r:id="rId1"/>
  <headerFooter alignWithMargins="0">
    <oddFooter>&amp;L&amp;"Arial,Italic"&amp;9MSDE-DBS 10 / 2007&amp;C- 7 -&amp;R&amp;"Arial,Italic"&amp;9Selected Financial Data-Part 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0"/>
  <sheetViews>
    <sheetView workbookViewId="0" topLeftCell="C1">
      <selection activeCell="I33" sqref="I33"/>
    </sheetView>
  </sheetViews>
  <sheetFormatPr defaultColWidth="9.140625" defaultRowHeight="12.75"/>
  <cols>
    <col min="1" max="1" width="14.140625" style="25" customWidth="1"/>
    <col min="2" max="2" width="11.8515625" style="25" customWidth="1"/>
    <col min="3" max="3" width="12.00390625" style="25" customWidth="1"/>
    <col min="4" max="4" width="14.00390625" style="25" bestFit="1" customWidth="1"/>
    <col min="5" max="5" width="1.57421875" style="25" customWidth="1"/>
    <col min="6" max="6" width="13.140625" style="25" customWidth="1"/>
    <col min="7" max="7" width="15.00390625" style="25" bestFit="1" customWidth="1"/>
    <col min="8" max="8" width="13.421875" style="25" customWidth="1"/>
    <col min="9" max="9" width="11.00390625" style="25" customWidth="1"/>
    <col min="10" max="10" width="14.57421875" style="25" customWidth="1"/>
    <col min="11" max="11" width="12.28125" style="25" bestFit="1" customWidth="1"/>
    <col min="12" max="12" width="13.8515625" style="25" bestFit="1" customWidth="1"/>
    <col min="13" max="13" width="10.28125" style="0" bestFit="1" customWidth="1"/>
  </cols>
  <sheetData>
    <row r="1" spans="1:12" ht="12.75">
      <c r="A1" s="451" t="s">
        <v>126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3" spans="1:12" s="39" customFormat="1" ht="12.75">
      <c r="A3" s="451" t="s">
        <v>262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</row>
    <row r="4" ht="13.5" thickBot="1"/>
    <row r="5" spans="1:12" ht="15" customHeight="1" thickTop="1">
      <c r="A5" s="153"/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</row>
    <row r="6" spans="1:36" ht="12.75">
      <c r="A6" s="37"/>
      <c r="B6" s="465"/>
      <c r="C6" s="465"/>
      <c r="D6" s="465"/>
      <c r="E6" s="157"/>
      <c r="F6" s="465" t="s">
        <v>249</v>
      </c>
      <c r="G6" s="465"/>
      <c r="H6" s="465"/>
      <c r="I6" s="466" t="s">
        <v>180</v>
      </c>
      <c r="J6" s="465" t="s">
        <v>133</v>
      </c>
      <c r="K6" s="465"/>
      <c r="L6" s="46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 customHeight="1">
      <c r="A7" s="37" t="s">
        <v>99</v>
      </c>
      <c r="B7" s="298" t="s">
        <v>134</v>
      </c>
      <c r="C7" s="470" t="s">
        <v>223</v>
      </c>
      <c r="D7" s="298" t="s">
        <v>164</v>
      </c>
      <c r="E7" s="298"/>
      <c r="F7" s="37"/>
      <c r="G7" s="157"/>
      <c r="H7" s="466" t="s">
        <v>218</v>
      </c>
      <c r="I7" s="467"/>
      <c r="J7" s="157" t="s">
        <v>36</v>
      </c>
      <c r="K7" s="157" t="s">
        <v>39</v>
      </c>
      <c r="L7" s="15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12" ht="12.75">
      <c r="A8" s="37" t="s">
        <v>41</v>
      </c>
      <c r="B8" s="298" t="s">
        <v>141</v>
      </c>
      <c r="C8" s="471"/>
      <c r="D8" s="298" t="s">
        <v>165</v>
      </c>
      <c r="E8" s="298"/>
      <c r="F8" s="37"/>
      <c r="G8" s="157" t="s">
        <v>34</v>
      </c>
      <c r="H8" s="467"/>
      <c r="I8" s="468"/>
      <c r="J8" s="157" t="s">
        <v>37</v>
      </c>
      <c r="K8" s="157" t="s">
        <v>40</v>
      </c>
      <c r="L8" s="267" t="s">
        <v>131</v>
      </c>
    </row>
    <row r="9" spans="1:12" ht="13.5" thickBot="1">
      <c r="A9" s="58" t="s">
        <v>143</v>
      </c>
      <c r="B9" s="299" t="s">
        <v>142</v>
      </c>
      <c r="C9" s="472"/>
      <c r="D9" s="299" t="s">
        <v>27</v>
      </c>
      <c r="E9" s="299"/>
      <c r="F9" s="55" t="s">
        <v>25</v>
      </c>
      <c r="G9" s="55" t="s">
        <v>35</v>
      </c>
      <c r="H9" s="469"/>
      <c r="I9" s="469"/>
      <c r="J9" s="55" t="s">
        <v>38</v>
      </c>
      <c r="K9" s="55" t="s">
        <v>41</v>
      </c>
      <c r="L9" s="55" t="s">
        <v>132</v>
      </c>
    </row>
    <row r="10" spans="1:12" s="183" customFormat="1" ht="12.75">
      <c r="A10" s="300" t="s">
        <v>0</v>
      </c>
      <c r="B10" s="400">
        <f aca="true" t="shared" si="0" ref="B10:H10">SUM(B12:B39)</f>
        <v>62508</v>
      </c>
      <c r="C10" s="160">
        <f>SUM(C12:C39)</f>
        <v>0</v>
      </c>
      <c r="D10" s="400">
        <f t="shared" si="0"/>
        <v>5936880.7</v>
      </c>
      <c r="E10" s="400">
        <f t="shared" si="0"/>
        <v>0</v>
      </c>
      <c r="F10" s="400">
        <f t="shared" si="0"/>
        <v>190138708.02</v>
      </c>
      <c r="G10" s="400">
        <f t="shared" si="0"/>
        <v>97258858.41</v>
      </c>
      <c r="H10" s="400">
        <f t="shared" si="0"/>
        <v>2091535.39</v>
      </c>
      <c r="I10" s="160">
        <f>SUM(I12:I39)</f>
        <v>0</v>
      </c>
      <c r="J10" s="400">
        <f>SUM(J12:J39)</f>
        <v>189246.87</v>
      </c>
      <c r="K10" s="160">
        <f>SUM(K12:K39)</f>
        <v>5000</v>
      </c>
      <c r="L10" s="400">
        <f>SUM(L12:L39)</f>
        <v>0</v>
      </c>
    </row>
    <row r="11" spans="1:12" s="39" customFormat="1" ht="12.75">
      <c r="A11" s="37"/>
      <c r="B11" s="177"/>
      <c r="C11" s="301"/>
      <c r="D11" s="177"/>
      <c r="E11" s="177"/>
      <c r="F11" s="164"/>
      <c r="G11" s="164"/>
      <c r="H11" s="164"/>
      <c r="I11" s="301"/>
      <c r="J11" s="302"/>
      <c r="K11" s="301"/>
      <c r="L11" s="177"/>
    </row>
    <row r="12" spans="1:13" s="39" customFormat="1" ht="12.75">
      <c r="A12" s="25" t="s">
        <v>1</v>
      </c>
      <c r="B12" s="214">
        <v>0</v>
      </c>
      <c r="C12" s="214">
        <v>0</v>
      </c>
      <c r="D12" s="303">
        <v>0</v>
      </c>
      <c r="E12" s="303"/>
      <c r="F12" s="214">
        <v>3616876</v>
      </c>
      <c r="G12" s="214">
        <v>1026415.58</v>
      </c>
      <c r="H12" s="35">
        <v>73355</v>
      </c>
      <c r="I12" s="214">
        <v>0</v>
      </c>
      <c r="J12" s="214">
        <v>0</v>
      </c>
      <c r="K12" s="214">
        <v>0</v>
      </c>
      <c r="L12" s="214">
        <v>0</v>
      </c>
      <c r="M12" s="238"/>
    </row>
    <row r="13" spans="1:12" s="39" customFormat="1" ht="12.75">
      <c r="A13" s="25" t="s">
        <v>2</v>
      </c>
      <c r="B13" s="214">
        <v>0</v>
      </c>
      <c r="C13" s="214">
        <v>0</v>
      </c>
      <c r="D13" s="175">
        <v>286021</v>
      </c>
      <c r="E13" s="303"/>
      <c r="F13" s="214">
        <v>12298652</v>
      </c>
      <c r="G13" s="35">
        <v>7818669.75</v>
      </c>
      <c r="H13" s="35">
        <v>446602</v>
      </c>
      <c r="I13" s="214">
        <v>0</v>
      </c>
      <c r="J13" s="35">
        <v>0</v>
      </c>
      <c r="K13" s="214">
        <v>0</v>
      </c>
      <c r="L13" s="214">
        <v>0</v>
      </c>
    </row>
    <row r="14" spans="1:12" s="39" customFormat="1" ht="12.75">
      <c r="A14" s="25" t="s">
        <v>3</v>
      </c>
      <c r="B14" s="214">
        <v>0</v>
      </c>
      <c r="C14" s="214">
        <v>0</v>
      </c>
      <c r="D14" s="303">
        <v>0</v>
      </c>
      <c r="E14" s="303"/>
      <c r="F14" s="214">
        <v>42899440.02</v>
      </c>
      <c r="G14" s="214">
        <v>20894274.74</v>
      </c>
      <c r="H14" s="303">
        <v>0</v>
      </c>
      <c r="I14" s="214">
        <v>0</v>
      </c>
      <c r="J14" s="35">
        <v>0</v>
      </c>
      <c r="K14" s="214">
        <v>0</v>
      </c>
      <c r="L14" s="214">
        <v>0</v>
      </c>
    </row>
    <row r="15" spans="1:12" s="39" customFormat="1" ht="12.75">
      <c r="A15" s="25" t="s">
        <v>4</v>
      </c>
      <c r="B15" s="214">
        <v>0</v>
      </c>
      <c r="C15" s="214">
        <v>0</v>
      </c>
      <c r="D15" s="175">
        <v>4143261</v>
      </c>
      <c r="E15" s="303"/>
      <c r="F15" s="214">
        <v>18685104</v>
      </c>
      <c r="G15" s="214">
        <v>13317032</v>
      </c>
      <c r="H15" s="303">
        <v>729099.77</v>
      </c>
      <c r="I15" s="214">
        <v>0</v>
      </c>
      <c r="J15" s="214">
        <v>0</v>
      </c>
      <c r="K15" s="214">
        <v>0</v>
      </c>
      <c r="L15" s="214">
        <v>0</v>
      </c>
    </row>
    <row r="16" spans="1:12" s="39" customFormat="1" ht="12.75">
      <c r="A16" s="25" t="s">
        <v>5</v>
      </c>
      <c r="B16" s="214">
        <v>0</v>
      </c>
      <c r="C16" s="214">
        <v>0</v>
      </c>
      <c r="D16" s="35">
        <v>0</v>
      </c>
      <c r="E16" s="303"/>
      <c r="F16" s="214">
        <v>3445774</v>
      </c>
      <c r="G16" s="214">
        <v>886193.46</v>
      </c>
      <c r="H16" s="303">
        <v>0</v>
      </c>
      <c r="I16" s="214">
        <v>0</v>
      </c>
      <c r="J16" s="303">
        <v>16563.88</v>
      </c>
      <c r="K16" s="214">
        <v>0</v>
      </c>
      <c r="L16" s="214">
        <v>0</v>
      </c>
    </row>
    <row r="17" spans="1:12" s="39" customFormat="1" ht="12.75">
      <c r="A17" s="25"/>
      <c r="B17" s="214"/>
      <c r="C17" s="214"/>
      <c r="D17" s="303"/>
      <c r="E17" s="303"/>
      <c r="F17" s="35"/>
      <c r="G17" s="35"/>
      <c r="H17" s="35"/>
      <c r="I17" s="214"/>
      <c r="J17" s="35"/>
      <c r="K17" s="214"/>
      <c r="L17" s="214"/>
    </row>
    <row r="18" spans="1:12" s="39" customFormat="1" ht="12.75">
      <c r="A18" s="25" t="s">
        <v>6</v>
      </c>
      <c r="B18" s="214">
        <v>0</v>
      </c>
      <c r="C18" s="214">
        <v>0</v>
      </c>
      <c r="D18" s="303">
        <v>0</v>
      </c>
      <c r="E18" s="303"/>
      <c r="F18" s="214">
        <v>1594353</v>
      </c>
      <c r="G18" s="35">
        <v>261833.73</v>
      </c>
      <c r="H18" s="35">
        <v>28910</v>
      </c>
      <c r="I18" s="214">
        <v>0</v>
      </c>
      <c r="J18" s="214">
        <v>0</v>
      </c>
      <c r="K18" s="214">
        <v>0</v>
      </c>
      <c r="L18" s="214">
        <v>0</v>
      </c>
    </row>
    <row r="19" spans="1:12" s="39" customFormat="1" ht="12.75">
      <c r="A19" s="25" t="s">
        <v>7</v>
      </c>
      <c r="B19" s="214">
        <v>0</v>
      </c>
      <c r="C19" s="214">
        <v>0</v>
      </c>
      <c r="D19" s="303">
        <v>35624.4</v>
      </c>
      <c r="E19" s="303"/>
      <c r="F19" s="214">
        <v>5878648</v>
      </c>
      <c r="G19" s="214">
        <v>3200258.52</v>
      </c>
      <c r="H19" s="35">
        <v>165588.71</v>
      </c>
      <c r="I19" s="214">
        <v>0</v>
      </c>
      <c r="J19" s="35">
        <v>0</v>
      </c>
      <c r="K19" s="214">
        <v>0</v>
      </c>
      <c r="L19" s="214">
        <v>0</v>
      </c>
    </row>
    <row r="20" spans="1:12" s="39" customFormat="1" ht="12.75">
      <c r="A20" s="25" t="s">
        <v>8</v>
      </c>
      <c r="B20" s="214">
        <v>0</v>
      </c>
      <c r="C20" s="214">
        <v>0</v>
      </c>
      <c r="D20" s="175">
        <v>0</v>
      </c>
      <c r="E20" s="303"/>
      <c r="F20" s="214">
        <v>4467459</v>
      </c>
      <c r="G20" s="214">
        <v>2448082.42</v>
      </c>
      <c r="H20" s="35">
        <v>70766</v>
      </c>
      <c r="I20" s="214">
        <v>0</v>
      </c>
      <c r="J20" s="214">
        <v>39328.47</v>
      </c>
      <c r="K20" s="214">
        <v>0</v>
      </c>
      <c r="L20" s="214">
        <v>0</v>
      </c>
    </row>
    <row r="21" spans="1:12" s="39" customFormat="1" ht="12.75">
      <c r="A21" s="25" t="s">
        <v>9</v>
      </c>
      <c r="B21" s="214">
        <v>0</v>
      </c>
      <c r="C21" s="214">
        <v>0</v>
      </c>
      <c r="D21" s="303">
        <v>18909.6</v>
      </c>
      <c r="E21" s="303"/>
      <c r="F21" s="214">
        <v>4486658</v>
      </c>
      <c r="G21" s="214">
        <v>1134863.88</v>
      </c>
      <c r="H21" s="303">
        <v>0</v>
      </c>
      <c r="I21" s="214">
        <v>0</v>
      </c>
      <c r="J21" s="35">
        <v>0</v>
      </c>
      <c r="K21" s="214">
        <v>0</v>
      </c>
      <c r="L21" s="214">
        <v>0</v>
      </c>
    </row>
    <row r="22" spans="1:12" s="39" customFormat="1" ht="12.75">
      <c r="A22" s="25" t="s">
        <v>10</v>
      </c>
      <c r="B22" s="175">
        <v>0</v>
      </c>
      <c r="C22" s="175">
        <v>0</v>
      </c>
      <c r="D22" s="35">
        <v>0</v>
      </c>
      <c r="E22" s="303"/>
      <c r="F22" s="175">
        <v>1004549</v>
      </c>
      <c r="G22" s="303">
        <v>16666</v>
      </c>
      <c r="H22" s="35">
        <v>43150</v>
      </c>
      <c r="I22" s="175">
        <v>0</v>
      </c>
      <c r="J22" s="214">
        <v>0</v>
      </c>
      <c r="K22" s="175">
        <v>0</v>
      </c>
      <c r="L22" s="175">
        <v>0</v>
      </c>
    </row>
    <row r="23" spans="1:12" s="39" customFormat="1" ht="12.75">
      <c r="A23" s="25"/>
      <c r="B23" s="214"/>
      <c r="C23" s="214"/>
      <c r="D23" s="303"/>
      <c r="E23" s="303"/>
      <c r="F23" s="35"/>
      <c r="G23" s="35"/>
      <c r="H23" s="35"/>
      <c r="I23" s="214"/>
      <c r="J23" s="35"/>
      <c r="K23" s="214"/>
      <c r="L23" s="214"/>
    </row>
    <row r="24" spans="1:12" s="39" customFormat="1" ht="12.75">
      <c r="A24" s="25" t="s">
        <v>11</v>
      </c>
      <c r="B24" s="214">
        <v>0</v>
      </c>
      <c r="C24" s="214">
        <v>0</v>
      </c>
      <c r="D24" s="303">
        <v>11653</v>
      </c>
      <c r="E24" s="303"/>
      <c r="F24" s="214">
        <v>7575637</v>
      </c>
      <c r="G24" s="214">
        <v>1635260.25</v>
      </c>
      <c r="H24" s="303">
        <v>0</v>
      </c>
      <c r="I24" s="214">
        <v>0</v>
      </c>
      <c r="J24" s="35">
        <v>1211.96</v>
      </c>
      <c r="K24" s="214">
        <v>0</v>
      </c>
      <c r="L24" s="214">
        <v>0</v>
      </c>
    </row>
    <row r="25" spans="1:12" s="39" customFormat="1" ht="12.75">
      <c r="A25" s="25" t="s">
        <v>12</v>
      </c>
      <c r="B25" s="175">
        <v>8044</v>
      </c>
      <c r="C25" s="214">
        <v>0</v>
      </c>
      <c r="D25" s="175">
        <v>122268.8</v>
      </c>
      <c r="E25" s="303"/>
      <c r="F25" s="214">
        <v>1102466</v>
      </c>
      <c r="G25" s="214">
        <v>91871.67</v>
      </c>
      <c r="H25" s="303">
        <v>0</v>
      </c>
      <c r="I25" s="214">
        <v>0</v>
      </c>
      <c r="J25" s="35">
        <v>0</v>
      </c>
      <c r="K25" s="214">
        <v>0</v>
      </c>
      <c r="L25" s="214">
        <v>0</v>
      </c>
    </row>
    <row r="26" spans="1:12" s="39" customFormat="1" ht="12.75">
      <c r="A26" s="25" t="s">
        <v>13</v>
      </c>
      <c r="B26" s="214">
        <v>0</v>
      </c>
      <c r="C26" s="214">
        <v>0</v>
      </c>
      <c r="D26" s="175">
        <v>105113.9</v>
      </c>
      <c r="E26" s="303"/>
      <c r="F26" s="214">
        <v>9822815</v>
      </c>
      <c r="G26" s="214">
        <v>3966761.43</v>
      </c>
      <c r="H26" s="303">
        <v>0</v>
      </c>
      <c r="I26" s="214">
        <v>0</v>
      </c>
      <c r="J26" s="35">
        <v>0</v>
      </c>
      <c r="K26" s="214">
        <v>0</v>
      </c>
      <c r="L26" s="214">
        <v>0</v>
      </c>
    </row>
    <row r="27" spans="1:12" s="39" customFormat="1" ht="12.75">
      <c r="A27" s="25" t="s">
        <v>14</v>
      </c>
      <c r="B27" s="214">
        <v>0</v>
      </c>
      <c r="C27" s="214">
        <v>0</v>
      </c>
      <c r="D27" s="303">
        <v>276264</v>
      </c>
      <c r="E27" s="303"/>
      <c r="F27" s="214">
        <v>6178647</v>
      </c>
      <c r="G27" s="401">
        <v>2822023.86</v>
      </c>
      <c r="H27" s="35">
        <v>273150.42</v>
      </c>
      <c r="I27" s="214">
        <v>0</v>
      </c>
      <c r="J27" s="35">
        <v>1849.95</v>
      </c>
      <c r="K27" s="214">
        <v>0</v>
      </c>
      <c r="L27" s="214">
        <v>0</v>
      </c>
    </row>
    <row r="28" spans="1:12" s="39" customFormat="1" ht="12.75">
      <c r="A28" s="25" t="s">
        <v>15</v>
      </c>
      <c r="B28" s="175">
        <v>0</v>
      </c>
      <c r="C28" s="175">
        <v>0</v>
      </c>
      <c r="D28" s="175">
        <v>17401</v>
      </c>
      <c r="E28" s="303"/>
      <c r="F28" s="214">
        <v>486229</v>
      </c>
      <c r="G28" s="35">
        <v>0</v>
      </c>
      <c r="H28" s="35">
        <v>3452</v>
      </c>
      <c r="I28" s="175">
        <v>0</v>
      </c>
      <c r="J28" s="175">
        <v>0</v>
      </c>
      <c r="K28" s="175">
        <v>0</v>
      </c>
      <c r="L28" s="175">
        <v>0</v>
      </c>
    </row>
    <row r="29" spans="1:12" s="39" customFormat="1" ht="12.75">
      <c r="A29" s="25"/>
      <c r="B29" s="214"/>
      <c r="C29" s="214"/>
      <c r="D29" s="175"/>
      <c r="E29" s="303"/>
      <c r="F29" s="35"/>
      <c r="G29" s="35"/>
      <c r="H29" s="35"/>
      <c r="I29" s="214"/>
      <c r="J29" s="35"/>
      <c r="K29" s="214"/>
      <c r="L29" s="214"/>
    </row>
    <row r="30" spans="1:12" s="39" customFormat="1" ht="12.75">
      <c r="A30" s="25" t="s">
        <v>16</v>
      </c>
      <c r="B30" s="214">
        <v>0</v>
      </c>
      <c r="C30" s="214">
        <v>0</v>
      </c>
      <c r="D30" s="303">
        <v>586741</v>
      </c>
      <c r="E30" s="303"/>
      <c r="F30" s="214">
        <v>20606286</v>
      </c>
      <c r="G30" s="214">
        <v>10957948</v>
      </c>
      <c r="H30" s="233">
        <v>0</v>
      </c>
      <c r="I30" s="214">
        <v>0</v>
      </c>
      <c r="J30" s="35">
        <v>0</v>
      </c>
      <c r="K30" s="214">
        <v>0</v>
      </c>
      <c r="L30" s="214">
        <v>0</v>
      </c>
    </row>
    <row r="31" spans="1:12" s="39" customFormat="1" ht="12.75">
      <c r="A31" s="25" t="s">
        <v>17</v>
      </c>
      <c r="B31" s="214">
        <v>0</v>
      </c>
      <c r="C31" s="214">
        <v>0</v>
      </c>
      <c r="D31" s="175">
        <v>247246</v>
      </c>
      <c r="E31" s="303"/>
      <c r="F31" s="214">
        <v>30392517</v>
      </c>
      <c r="G31" s="214">
        <v>23979456.81</v>
      </c>
      <c r="H31" s="233">
        <v>0</v>
      </c>
      <c r="I31" s="214">
        <v>0</v>
      </c>
      <c r="J31" s="35">
        <v>0</v>
      </c>
      <c r="K31" s="214">
        <v>0</v>
      </c>
      <c r="L31" s="214">
        <v>0</v>
      </c>
    </row>
    <row r="32" spans="1:12" s="39" customFormat="1" ht="12.75">
      <c r="A32" s="25" t="s">
        <v>18</v>
      </c>
      <c r="B32" s="214">
        <v>0</v>
      </c>
      <c r="C32" s="214">
        <v>0</v>
      </c>
      <c r="D32" s="175">
        <v>21738</v>
      </c>
      <c r="E32" s="303"/>
      <c r="F32" s="214">
        <v>1224539</v>
      </c>
      <c r="G32" s="214">
        <v>325196.45</v>
      </c>
      <c r="H32" s="35">
        <v>44876</v>
      </c>
      <c r="I32" s="214">
        <v>0</v>
      </c>
      <c r="J32" s="35">
        <v>0</v>
      </c>
      <c r="K32" s="214">
        <v>0</v>
      </c>
      <c r="L32" s="214">
        <v>0</v>
      </c>
    </row>
    <row r="33" spans="1:12" s="39" customFormat="1" ht="12.75">
      <c r="A33" s="25" t="s">
        <v>19</v>
      </c>
      <c r="B33" s="214">
        <v>0</v>
      </c>
      <c r="C33" s="214">
        <v>0</v>
      </c>
      <c r="D33" s="214">
        <v>0</v>
      </c>
      <c r="E33" s="303"/>
      <c r="F33" s="214">
        <v>4039824</v>
      </c>
      <c r="G33" s="214">
        <v>917812.82</v>
      </c>
      <c r="H33" s="233">
        <v>0</v>
      </c>
      <c r="I33" s="214">
        <v>0</v>
      </c>
      <c r="J33" s="35">
        <v>0</v>
      </c>
      <c r="K33" s="214">
        <v>5000</v>
      </c>
      <c r="L33" s="214">
        <v>0</v>
      </c>
    </row>
    <row r="34" spans="1:12" s="39" customFormat="1" ht="12.75">
      <c r="A34" s="25" t="s">
        <v>20</v>
      </c>
      <c r="B34" s="175">
        <v>0</v>
      </c>
      <c r="C34" s="175">
        <v>0</v>
      </c>
      <c r="D34" s="214">
        <v>0</v>
      </c>
      <c r="E34" s="303"/>
      <c r="F34" s="214">
        <v>860468</v>
      </c>
      <c r="G34" s="35">
        <v>0</v>
      </c>
      <c r="H34" s="35">
        <v>6761.49</v>
      </c>
      <c r="I34" s="175">
        <v>0</v>
      </c>
      <c r="J34" s="214">
        <v>0</v>
      </c>
      <c r="K34" s="175">
        <v>0</v>
      </c>
      <c r="L34" s="303"/>
    </row>
    <row r="35" spans="1:12" s="39" customFormat="1" ht="12.75">
      <c r="A35" s="25"/>
      <c r="B35" s="214"/>
      <c r="C35" s="214"/>
      <c r="D35" s="303"/>
      <c r="E35" s="303"/>
      <c r="F35" s="35"/>
      <c r="G35" s="214"/>
      <c r="H35" s="35"/>
      <c r="I35" s="214"/>
      <c r="J35" s="35"/>
      <c r="K35" s="214"/>
      <c r="L35" s="303"/>
    </row>
    <row r="36" spans="1:12" s="39" customFormat="1" ht="12.75">
      <c r="A36" s="25" t="s">
        <v>21</v>
      </c>
      <c r="B36" s="214">
        <v>0</v>
      </c>
      <c r="C36" s="214">
        <v>0</v>
      </c>
      <c r="D36" s="303">
        <v>17865</v>
      </c>
      <c r="E36" s="303"/>
      <c r="F36" s="214">
        <v>562435</v>
      </c>
      <c r="G36" s="214">
        <v>0</v>
      </c>
      <c r="H36" s="35">
        <v>30636</v>
      </c>
      <c r="I36" s="214">
        <v>0</v>
      </c>
      <c r="J36" s="214">
        <v>0</v>
      </c>
      <c r="K36" s="214">
        <v>0</v>
      </c>
      <c r="L36" s="214">
        <v>0</v>
      </c>
    </row>
    <row r="37" spans="1:12" s="39" customFormat="1" ht="12.75">
      <c r="A37" s="25" t="s">
        <v>22</v>
      </c>
      <c r="B37" s="303">
        <v>54464</v>
      </c>
      <c r="C37" s="214">
        <v>0</v>
      </c>
      <c r="D37" s="175">
        <v>15890</v>
      </c>
      <c r="E37" s="303"/>
      <c r="F37" s="214">
        <v>4745478</v>
      </c>
      <c r="G37" s="214">
        <v>1328643.71</v>
      </c>
      <c r="H37" s="35">
        <v>93635</v>
      </c>
      <c r="I37" s="214">
        <v>0</v>
      </c>
      <c r="J37" s="303">
        <v>36827.2</v>
      </c>
      <c r="K37" s="214">
        <v>0</v>
      </c>
      <c r="L37" s="214">
        <v>0</v>
      </c>
    </row>
    <row r="38" spans="1:12" s="39" customFormat="1" ht="12.75">
      <c r="A38" s="25" t="s">
        <v>23</v>
      </c>
      <c r="B38" s="214">
        <v>0</v>
      </c>
      <c r="C38" s="214">
        <v>0</v>
      </c>
      <c r="D38" s="175">
        <v>16570</v>
      </c>
      <c r="E38" s="303"/>
      <c r="F38" s="214">
        <v>3362841</v>
      </c>
      <c r="G38" s="214">
        <v>229593.33</v>
      </c>
      <c r="H38" s="233">
        <v>65156</v>
      </c>
      <c r="I38" s="214">
        <v>0</v>
      </c>
      <c r="J38" s="35">
        <v>81910.41</v>
      </c>
      <c r="K38" s="214">
        <v>0</v>
      </c>
      <c r="L38" s="214">
        <v>0</v>
      </c>
    </row>
    <row r="39" spans="1:12" s="39" customFormat="1" ht="12.75">
      <c r="A39" s="36" t="s">
        <v>24</v>
      </c>
      <c r="B39" s="235">
        <v>0</v>
      </c>
      <c r="C39" s="235">
        <v>0</v>
      </c>
      <c r="D39" s="351">
        <v>14314</v>
      </c>
      <c r="E39" s="351"/>
      <c r="F39" s="314">
        <v>801013</v>
      </c>
      <c r="G39" s="235">
        <v>0</v>
      </c>
      <c r="H39" s="235">
        <v>16397</v>
      </c>
      <c r="I39" s="235">
        <v>0</v>
      </c>
      <c r="J39" s="235">
        <v>11555</v>
      </c>
      <c r="K39" s="235">
        <v>0</v>
      </c>
      <c r="L39" s="235">
        <v>0</v>
      </c>
    </row>
    <row r="40" spans="1:12" s="39" customFormat="1" ht="12.75">
      <c r="A40" s="25"/>
      <c r="B40" s="303"/>
      <c r="C40" s="303"/>
      <c r="D40" s="303"/>
      <c r="E40" s="303"/>
      <c r="F40" s="25"/>
      <c r="G40" s="25"/>
      <c r="H40" s="25"/>
      <c r="I40" s="25"/>
      <c r="J40" s="226"/>
      <c r="K40" s="25"/>
      <c r="L40" s="35"/>
    </row>
    <row r="41" spans="1:12" s="39" customFormat="1" ht="12.75">
      <c r="A41" s="25"/>
      <c r="B41" s="303"/>
      <c r="C41" s="303"/>
      <c r="D41" s="303"/>
      <c r="E41" s="303"/>
      <c r="F41" s="25"/>
      <c r="G41" s="25"/>
      <c r="H41" s="25"/>
      <c r="I41" s="25"/>
      <c r="J41" s="304"/>
      <c r="K41" s="25"/>
      <c r="L41" s="35"/>
    </row>
    <row r="42" spans="1:12" s="39" customFormat="1" ht="12.75">
      <c r="A42" s="25"/>
      <c r="B42" s="303"/>
      <c r="C42" s="303"/>
      <c r="D42" s="303"/>
      <c r="E42" s="303"/>
      <c r="F42" s="25"/>
      <c r="G42" s="228"/>
      <c r="H42" s="25"/>
      <c r="I42" s="25"/>
      <c r="J42" s="25"/>
      <c r="K42" s="25"/>
      <c r="L42" s="35"/>
    </row>
    <row r="43" spans="1:12" s="39" customFormat="1" ht="12.75">
      <c r="A43" s="25"/>
      <c r="B43" s="303"/>
      <c r="C43" s="303"/>
      <c r="D43" s="303"/>
      <c r="E43" s="303"/>
      <c r="F43" s="25"/>
      <c r="G43" s="25"/>
      <c r="H43" s="25"/>
      <c r="I43" s="25"/>
      <c r="J43" s="25"/>
      <c r="K43" s="25"/>
      <c r="L43" s="35"/>
    </row>
    <row r="44" spans="1:12" s="39" customFormat="1" ht="12.75">
      <c r="A44" s="25"/>
      <c r="B44" s="303"/>
      <c r="C44" s="303"/>
      <c r="D44" s="303"/>
      <c r="E44" s="303"/>
      <c r="F44" s="25"/>
      <c r="G44" s="25"/>
      <c r="H44" s="25"/>
      <c r="I44" s="25"/>
      <c r="J44" s="25"/>
      <c r="K44" s="25"/>
      <c r="L44" s="35"/>
    </row>
    <row r="45" spans="1:12" s="39" customFormat="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35"/>
    </row>
    <row r="46" spans="1:12" s="39" customFormat="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35"/>
    </row>
    <row r="47" spans="1:12" s="39" customFormat="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35"/>
    </row>
    <row r="48" spans="1:12" s="39" customFormat="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35"/>
    </row>
    <row r="49" spans="1:12" s="39" customFormat="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35"/>
    </row>
    <row r="50" spans="1:12" s="39" customFormat="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35"/>
    </row>
    <row r="51" spans="1:12" s="39" customFormat="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35"/>
    </row>
    <row r="52" spans="1:12" s="39" customFormat="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35"/>
    </row>
    <row r="53" spans="1:12" s="39" customFormat="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35"/>
    </row>
    <row r="54" spans="1:12" s="39" customFormat="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5"/>
    </row>
    <row r="55" spans="1:12" s="39" customFormat="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35"/>
    </row>
    <row r="56" spans="1:12" s="39" customFormat="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35"/>
    </row>
    <row r="57" spans="1:12" s="39" customFormat="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5"/>
    </row>
    <row r="58" spans="1:12" s="39" customFormat="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35"/>
    </row>
    <row r="59" spans="1:12" s="39" customFormat="1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35"/>
    </row>
    <row r="60" spans="1:12" s="39" customFormat="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35"/>
    </row>
    <row r="61" spans="1:12" s="39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35"/>
    </row>
    <row r="62" spans="1:12" s="39" customFormat="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35"/>
    </row>
    <row r="63" spans="1:12" s="39" customFormat="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35"/>
    </row>
    <row r="64" spans="1:12" s="39" customFormat="1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35"/>
    </row>
    <row r="65" spans="1:12" s="39" customFormat="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35"/>
    </row>
    <row r="66" spans="1:12" s="39" customFormat="1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35"/>
    </row>
    <row r="67" spans="1:12" s="39" customFormat="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5"/>
    </row>
    <row r="68" spans="1:12" s="39" customFormat="1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35"/>
    </row>
    <row r="69" spans="1:12" s="39" customFormat="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35"/>
    </row>
    <row r="70" spans="1:12" s="39" customFormat="1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35"/>
    </row>
    <row r="71" spans="1:12" s="39" customFormat="1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35"/>
    </row>
    <row r="72" spans="1:12" s="39" customFormat="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35"/>
    </row>
    <row r="73" spans="1:12" s="39" customFormat="1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35"/>
    </row>
    <row r="74" spans="1:12" s="39" customFormat="1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35"/>
    </row>
    <row r="75" spans="1:12" s="39" customFormat="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35"/>
    </row>
    <row r="76" spans="1:12" s="39" customFormat="1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35"/>
    </row>
    <row r="77" spans="1:12" s="39" customFormat="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35"/>
    </row>
    <row r="78" spans="1:12" s="39" customFormat="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35"/>
    </row>
    <row r="79" spans="1:12" s="39" customFormat="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35"/>
    </row>
    <row r="80" spans="1:12" s="39" customFormat="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35"/>
    </row>
    <row r="81" spans="1:12" s="39" customFormat="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35"/>
    </row>
    <row r="82" spans="1:12" s="39" customFormat="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35"/>
    </row>
    <row r="83" spans="1:12" s="39" customFormat="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35"/>
    </row>
    <row r="84" spans="1:12" s="39" customFormat="1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35"/>
    </row>
    <row r="85" spans="1:12" s="39" customFormat="1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35"/>
    </row>
    <row r="86" spans="1:12" s="39" customFormat="1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35"/>
    </row>
    <row r="87" spans="1:12" s="39" customFormat="1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35"/>
    </row>
    <row r="88" spans="1:12" s="39" customFormat="1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35"/>
    </row>
    <row r="89" spans="1:12" s="39" customFormat="1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35"/>
    </row>
    <row r="90" spans="1:12" s="39" customFormat="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35"/>
    </row>
    <row r="91" spans="1:12" s="39" customFormat="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35"/>
    </row>
    <row r="92" spans="1:12" s="39" customFormat="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35"/>
    </row>
    <row r="93" spans="1:12" s="39" customFormat="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35"/>
    </row>
    <row r="94" spans="1:12" s="39" customFormat="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35"/>
    </row>
    <row r="95" spans="1:12" s="39" customFormat="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35"/>
    </row>
    <row r="96" spans="1:12" s="39" customFormat="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35"/>
    </row>
    <row r="97" spans="1:12" s="39" customFormat="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35"/>
    </row>
    <row r="98" spans="1:12" s="39" customFormat="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35"/>
    </row>
    <row r="99" spans="1:12" s="39" customFormat="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35"/>
    </row>
    <row r="100" spans="1:12" s="39" customFormat="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35"/>
    </row>
    <row r="101" ht="12.75">
      <c r="L101" s="35"/>
    </row>
    <row r="102" ht="12.75">
      <c r="L102" s="35"/>
    </row>
    <row r="103" ht="12.75">
      <c r="L103" s="35"/>
    </row>
    <row r="104" ht="12.75">
      <c r="L104" s="35"/>
    </row>
    <row r="105" ht="12.75">
      <c r="L105" s="35"/>
    </row>
    <row r="106" ht="12.75">
      <c r="L106" s="35"/>
    </row>
    <row r="107" ht="12.75">
      <c r="L107" s="35"/>
    </row>
    <row r="108" ht="12.75">
      <c r="L108" s="35"/>
    </row>
    <row r="109" ht="12.75">
      <c r="L109" s="35"/>
    </row>
    <row r="110" ht="12.75">
      <c r="L110" s="35"/>
    </row>
    <row r="111" ht="12.75">
      <c r="L111" s="35"/>
    </row>
    <row r="112" ht="12.75">
      <c r="L112" s="35"/>
    </row>
    <row r="113" ht="12.75">
      <c r="L113" s="35"/>
    </row>
    <row r="114" ht="12.75">
      <c r="L114" s="35"/>
    </row>
    <row r="115" ht="12.75">
      <c r="L115" s="35"/>
    </row>
    <row r="116" ht="12.75">
      <c r="L116" s="35"/>
    </row>
    <row r="117" ht="12.75">
      <c r="L117" s="35"/>
    </row>
    <row r="118" ht="12.75">
      <c r="L118" s="35"/>
    </row>
    <row r="119" ht="12.75">
      <c r="L119" s="35"/>
    </row>
    <row r="120" ht="12.75">
      <c r="L120" s="35"/>
    </row>
    <row r="121" ht="12.75">
      <c r="L121" s="35"/>
    </row>
    <row r="122" ht="12.75">
      <c r="L122" s="35"/>
    </row>
    <row r="123" ht="12.75">
      <c r="L123" s="35"/>
    </row>
    <row r="124" ht="12.75">
      <c r="L124" s="35"/>
    </row>
    <row r="125" ht="12.75">
      <c r="L125" s="35"/>
    </row>
    <row r="126" ht="12.75">
      <c r="L126" s="35"/>
    </row>
    <row r="127" ht="12.75">
      <c r="L127" s="35"/>
    </row>
    <row r="128" ht="12.75">
      <c r="L128" s="35"/>
    </row>
    <row r="129" ht="12.75">
      <c r="L129" s="35"/>
    </row>
    <row r="130" ht="12.75">
      <c r="L130" s="35"/>
    </row>
    <row r="131" ht="12.75">
      <c r="L131" s="35"/>
    </row>
    <row r="132" ht="12.75">
      <c r="L132" s="35"/>
    </row>
    <row r="133" ht="12.75">
      <c r="L133" s="35"/>
    </row>
    <row r="134" ht="12.75">
      <c r="L134" s="35"/>
    </row>
    <row r="135" ht="12.75">
      <c r="L135" s="35"/>
    </row>
    <row r="136" ht="12.75">
      <c r="L136" s="35"/>
    </row>
    <row r="137" ht="12.75">
      <c r="L137" s="35"/>
    </row>
    <row r="138" ht="12.75">
      <c r="L138" s="35"/>
    </row>
    <row r="139" ht="12.75">
      <c r="L139" s="35"/>
    </row>
    <row r="140" ht="12.75">
      <c r="L140" s="35"/>
    </row>
    <row r="141" ht="12.75">
      <c r="L141" s="35"/>
    </row>
    <row r="142" ht="12.75">
      <c r="L142" s="35"/>
    </row>
    <row r="143" ht="12.75">
      <c r="L143" s="35"/>
    </row>
    <row r="144" ht="12.75">
      <c r="L144" s="35"/>
    </row>
    <row r="145" ht="12.75">
      <c r="L145" s="35"/>
    </row>
    <row r="146" ht="12.75">
      <c r="L146" s="35"/>
    </row>
    <row r="147" ht="12.75">
      <c r="L147" s="35"/>
    </row>
    <row r="148" ht="12.75">
      <c r="L148" s="35"/>
    </row>
    <row r="149" ht="12.75">
      <c r="L149" s="35"/>
    </row>
    <row r="150" ht="12.75">
      <c r="L150" s="35"/>
    </row>
    <row r="151" ht="12.75">
      <c r="L151" s="35"/>
    </row>
    <row r="152" ht="12.75">
      <c r="L152" s="35"/>
    </row>
    <row r="153" ht="12.75">
      <c r="L153" s="35"/>
    </row>
    <row r="154" ht="12.75">
      <c r="L154" s="35"/>
    </row>
    <row r="155" ht="12.75">
      <c r="L155" s="35"/>
    </row>
    <row r="156" ht="12.75">
      <c r="L156" s="35"/>
    </row>
    <row r="157" ht="12.75">
      <c r="L157" s="35"/>
    </row>
    <row r="158" ht="12.75">
      <c r="L158" s="35"/>
    </row>
    <row r="159" ht="12.75">
      <c r="L159" s="35"/>
    </row>
    <row r="160" ht="12.75">
      <c r="L160" s="35"/>
    </row>
    <row r="161" ht="12.75">
      <c r="L161" s="35"/>
    </row>
    <row r="162" ht="12.75">
      <c r="L162" s="35"/>
    </row>
    <row r="163" ht="12.75">
      <c r="L163" s="35"/>
    </row>
    <row r="164" ht="12.75">
      <c r="L164" s="35"/>
    </row>
    <row r="165" ht="12.75">
      <c r="L165" s="35"/>
    </row>
    <row r="166" ht="12.75">
      <c r="L166" s="35"/>
    </row>
    <row r="167" ht="12.75">
      <c r="L167" s="35"/>
    </row>
    <row r="168" ht="12.75">
      <c r="L168" s="35"/>
    </row>
    <row r="169" ht="12.75">
      <c r="L169" s="35"/>
    </row>
    <row r="170" ht="12.75">
      <c r="L170" s="35"/>
    </row>
    <row r="171" ht="12.75">
      <c r="L171" s="35"/>
    </row>
    <row r="172" ht="12.75">
      <c r="L172" s="35"/>
    </row>
    <row r="173" ht="12.75">
      <c r="L173" s="35"/>
    </row>
    <row r="174" ht="12.75">
      <c r="L174" s="35"/>
    </row>
    <row r="175" ht="12.75">
      <c r="L175" s="35"/>
    </row>
    <row r="176" ht="12.75">
      <c r="L176" s="35"/>
    </row>
    <row r="177" ht="12.75">
      <c r="L177" s="35"/>
    </row>
    <row r="178" ht="12.75">
      <c r="L178" s="35"/>
    </row>
    <row r="179" ht="12.75">
      <c r="L179" s="35"/>
    </row>
    <row r="180" ht="12.75">
      <c r="L180" s="35"/>
    </row>
    <row r="181" ht="12.75">
      <c r="L181" s="35"/>
    </row>
    <row r="182" ht="12.75">
      <c r="L182" s="35"/>
    </row>
    <row r="183" ht="12.75">
      <c r="L183" s="35"/>
    </row>
    <row r="184" ht="12.75">
      <c r="L184" s="35"/>
    </row>
    <row r="185" ht="12.75">
      <c r="L185" s="35"/>
    </row>
    <row r="186" ht="12.75">
      <c r="L186" s="35"/>
    </row>
    <row r="187" ht="12.75">
      <c r="L187" s="35"/>
    </row>
    <row r="188" ht="12.75">
      <c r="L188" s="35"/>
    </row>
    <row r="189" ht="12.75">
      <c r="L189" s="35"/>
    </row>
    <row r="190" ht="12.75">
      <c r="L190" s="35"/>
    </row>
    <row r="191" ht="12.75">
      <c r="L191" s="35"/>
    </row>
    <row r="192" ht="12.75">
      <c r="L192" s="35"/>
    </row>
    <row r="193" ht="12.75">
      <c r="L193" s="35"/>
    </row>
    <row r="194" ht="12.75">
      <c r="L194" s="35"/>
    </row>
    <row r="195" ht="12.75">
      <c r="L195" s="35"/>
    </row>
    <row r="196" ht="12.75">
      <c r="L196" s="35"/>
    </row>
    <row r="197" ht="12.75">
      <c r="L197" s="35"/>
    </row>
    <row r="198" ht="12.75">
      <c r="L198" s="35"/>
    </row>
    <row r="199" ht="12.75">
      <c r="L199" s="35"/>
    </row>
    <row r="200" ht="12.75">
      <c r="L200" s="35"/>
    </row>
    <row r="201" ht="12.75">
      <c r="L201" s="35"/>
    </row>
    <row r="202" ht="12.75">
      <c r="L202" s="35"/>
    </row>
    <row r="203" ht="12.75">
      <c r="L203" s="35"/>
    </row>
    <row r="204" ht="12.75">
      <c r="L204" s="35"/>
    </row>
    <row r="205" ht="12.75">
      <c r="L205" s="35"/>
    </row>
    <row r="206" ht="12.75">
      <c r="L206" s="35"/>
    </row>
    <row r="207" ht="12.75">
      <c r="L207" s="35"/>
    </row>
    <row r="208" ht="12.75">
      <c r="L208" s="35"/>
    </row>
    <row r="209" ht="12.75">
      <c r="L209" s="35"/>
    </row>
    <row r="210" ht="12.75">
      <c r="L210" s="35"/>
    </row>
    <row r="211" ht="12.75">
      <c r="L211" s="35"/>
    </row>
    <row r="212" ht="12.75">
      <c r="L212" s="35"/>
    </row>
    <row r="213" ht="12.75">
      <c r="L213" s="35"/>
    </row>
    <row r="214" ht="12.75">
      <c r="L214" s="35"/>
    </row>
    <row r="215" ht="12.75">
      <c r="L215" s="35"/>
    </row>
    <row r="216" ht="12.75">
      <c r="L216" s="35"/>
    </row>
    <row r="217" ht="12.75">
      <c r="L217" s="35"/>
    </row>
    <row r="218" ht="12.75">
      <c r="L218" s="35"/>
    </row>
    <row r="219" ht="12.75">
      <c r="L219" s="35"/>
    </row>
    <row r="220" ht="12.75">
      <c r="L220" s="35"/>
    </row>
    <row r="221" ht="12.75">
      <c r="L221" s="35"/>
    </row>
    <row r="222" ht="12.75">
      <c r="L222" s="35"/>
    </row>
    <row r="223" ht="12.75">
      <c r="L223" s="35"/>
    </row>
    <row r="224" ht="12.75">
      <c r="L224" s="35"/>
    </row>
    <row r="225" ht="12.75">
      <c r="L225" s="35"/>
    </row>
    <row r="226" ht="12.75">
      <c r="L226" s="35"/>
    </row>
    <row r="227" ht="12.75">
      <c r="L227" s="35"/>
    </row>
    <row r="228" ht="12.75">
      <c r="L228" s="35"/>
    </row>
    <row r="229" ht="12.75">
      <c r="L229" s="35"/>
    </row>
    <row r="230" ht="12.75">
      <c r="L230" s="35"/>
    </row>
    <row r="231" ht="12.75">
      <c r="L231" s="35"/>
    </row>
    <row r="232" ht="12.75">
      <c r="L232" s="35"/>
    </row>
    <row r="233" ht="12.75">
      <c r="L233" s="35"/>
    </row>
    <row r="234" ht="12.75">
      <c r="L234" s="35"/>
    </row>
    <row r="235" ht="12.75">
      <c r="L235" s="35"/>
    </row>
    <row r="236" ht="12.75">
      <c r="L236" s="35"/>
    </row>
    <row r="237" ht="12.75">
      <c r="L237" s="35"/>
    </row>
    <row r="238" ht="12.75">
      <c r="L238" s="35"/>
    </row>
    <row r="239" ht="12.75">
      <c r="L239" s="35"/>
    </row>
    <row r="240" ht="12.75">
      <c r="L240" s="35"/>
    </row>
    <row r="241" ht="12.75">
      <c r="L241" s="35"/>
    </row>
    <row r="242" ht="12.75">
      <c r="L242" s="35"/>
    </row>
    <row r="243" ht="12.75">
      <c r="L243" s="35"/>
    </row>
    <row r="244" ht="12.75">
      <c r="L244" s="35"/>
    </row>
    <row r="245" ht="12.75">
      <c r="L245" s="35"/>
    </row>
    <row r="246" ht="12.75">
      <c r="L246" s="35"/>
    </row>
    <row r="247" ht="12.75">
      <c r="L247" s="35"/>
    </row>
    <row r="248" ht="12.75">
      <c r="L248" s="35"/>
    </row>
    <row r="249" ht="12.75">
      <c r="L249" s="35"/>
    </row>
    <row r="250" ht="12.75">
      <c r="L250" s="35"/>
    </row>
    <row r="251" ht="12.75">
      <c r="L251" s="35"/>
    </row>
    <row r="252" ht="12.75">
      <c r="L252" s="35"/>
    </row>
    <row r="253" ht="12.75">
      <c r="L253" s="35"/>
    </row>
    <row r="254" ht="12.75">
      <c r="L254" s="35"/>
    </row>
    <row r="255" ht="12.75">
      <c r="L255" s="35"/>
    </row>
    <row r="256" ht="12.75">
      <c r="L256" s="35"/>
    </row>
    <row r="257" ht="12.75">
      <c r="L257" s="35"/>
    </row>
    <row r="258" ht="12.75">
      <c r="L258" s="35"/>
    </row>
    <row r="259" ht="12.75">
      <c r="L259" s="35"/>
    </row>
    <row r="260" ht="12.75">
      <c r="L260" s="35"/>
    </row>
    <row r="261" ht="12.75">
      <c r="L261" s="35"/>
    </row>
    <row r="262" ht="12.75">
      <c r="L262" s="35"/>
    </row>
    <row r="263" ht="12.75">
      <c r="L263" s="35"/>
    </row>
    <row r="264" ht="12.75">
      <c r="L264" s="35"/>
    </row>
    <row r="265" ht="12.75">
      <c r="L265" s="35"/>
    </row>
    <row r="266" ht="12.75">
      <c r="L266" s="35"/>
    </row>
    <row r="267" ht="12.75">
      <c r="L267" s="35"/>
    </row>
    <row r="268" ht="12.75">
      <c r="L268" s="35"/>
    </row>
    <row r="269" ht="12.75">
      <c r="L269" s="35"/>
    </row>
    <row r="270" ht="12.75">
      <c r="L270" s="35"/>
    </row>
    <row r="271" ht="12.75">
      <c r="L271" s="35"/>
    </row>
    <row r="272" ht="12.75">
      <c r="L272" s="35"/>
    </row>
    <row r="273" ht="12.75">
      <c r="L273" s="35"/>
    </row>
    <row r="274" ht="12.75">
      <c r="L274" s="35"/>
    </row>
    <row r="275" ht="12.75">
      <c r="L275" s="35"/>
    </row>
    <row r="276" ht="12.75">
      <c r="L276" s="35"/>
    </row>
    <row r="277" ht="12.75">
      <c r="L277" s="35"/>
    </row>
    <row r="278" ht="12.75">
      <c r="L278" s="35"/>
    </row>
    <row r="279" ht="12.75">
      <c r="L279" s="35"/>
    </row>
    <row r="280" ht="12.75">
      <c r="L280" s="35"/>
    </row>
    <row r="281" ht="12.75">
      <c r="L281" s="35"/>
    </row>
    <row r="282" ht="12.75">
      <c r="L282" s="35"/>
    </row>
    <row r="283" ht="12.75">
      <c r="L283" s="35"/>
    </row>
    <row r="284" ht="12.75">
      <c r="L284" s="35"/>
    </row>
    <row r="285" ht="12.75">
      <c r="L285" s="35"/>
    </row>
    <row r="286" ht="12.75">
      <c r="L286" s="35"/>
    </row>
    <row r="287" ht="12.75">
      <c r="L287" s="35"/>
    </row>
    <row r="288" ht="12.75">
      <c r="L288" s="35"/>
    </row>
    <row r="289" ht="12.75">
      <c r="L289" s="35"/>
    </row>
    <row r="290" ht="12.75">
      <c r="L290" s="35"/>
    </row>
    <row r="291" ht="12.75">
      <c r="L291" s="35"/>
    </row>
    <row r="292" ht="12.75">
      <c r="L292" s="35"/>
    </row>
    <row r="293" ht="12.75">
      <c r="L293" s="35"/>
    </row>
    <row r="294" ht="12.75">
      <c r="L294" s="35"/>
    </row>
    <row r="295" ht="12.75">
      <c r="L295" s="35"/>
    </row>
    <row r="296" ht="12.75">
      <c r="L296" s="35"/>
    </row>
    <row r="297" ht="12.75">
      <c r="L297" s="35"/>
    </row>
    <row r="298" ht="12.75">
      <c r="L298" s="35"/>
    </row>
    <row r="299" ht="12.75">
      <c r="L299" s="35"/>
    </row>
    <row r="300" ht="12.75">
      <c r="L300" s="35"/>
    </row>
    <row r="301" ht="12.75">
      <c r="L301" s="35"/>
    </row>
    <row r="302" ht="12.75">
      <c r="L302" s="35"/>
    </row>
    <row r="303" ht="12.75">
      <c r="L303" s="35"/>
    </row>
    <row r="304" ht="12.75">
      <c r="L304" s="35"/>
    </row>
    <row r="305" ht="12.75">
      <c r="L305" s="35"/>
    </row>
    <row r="306" ht="12.75">
      <c r="L306" s="35"/>
    </row>
    <row r="307" ht="12.75">
      <c r="L307" s="35"/>
    </row>
    <row r="308" ht="12.75">
      <c r="L308" s="35"/>
    </row>
    <row r="309" ht="12.75">
      <c r="L309" s="35"/>
    </row>
    <row r="310" ht="12.75">
      <c r="L310" s="35"/>
    </row>
    <row r="311" ht="12.75">
      <c r="L311" s="35"/>
    </row>
    <row r="312" ht="12.75">
      <c r="L312" s="35"/>
    </row>
    <row r="313" ht="12.75">
      <c r="L313" s="35"/>
    </row>
    <row r="314" ht="12.75">
      <c r="L314" s="35"/>
    </row>
    <row r="315" ht="12.75">
      <c r="L315" s="35"/>
    </row>
    <row r="316" ht="12.75">
      <c r="L316" s="35"/>
    </row>
    <row r="317" ht="12.75">
      <c r="L317" s="35"/>
    </row>
    <row r="318" ht="12.75">
      <c r="L318" s="35"/>
    </row>
    <row r="319" ht="12.75">
      <c r="L319" s="35"/>
    </row>
    <row r="320" ht="12.75">
      <c r="L320" s="35"/>
    </row>
    <row r="321" ht="12.75">
      <c r="L321" s="35"/>
    </row>
    <row r="322" ht="12.75">
      <c r="L322" s="35"/>
    </row>
    <row r="323" ht="12.75">
      <c r="L323" s="35"/>
    </row>
    <row r="324" ht="12.75">
      <c r="L324" s="35"/>
    </row>
    <row r="325" ht="12.75">
      <c r="L325" s="35"/>
    </row>
    <row r="326" ht="12.75">
      <c r="L326" s="35"/>
    </row>
    <row r="327" ht="12.75">
      <c r="L327" s="35"/>
    </row>
    <row r="328" ht="12.75">
      <c r="L328" s="35"/>
    </row>
    <row r="329" ht="12.75">
      <c r="L329" s="35"/>
    </row>
    <row r="330" ht="12.75">
      <c r="L330" s="35"/>
    </row>
    <row r="331" ht="12.75">
      <c r="L331" s="35"/>
    </row>
    <row r="332" ht="12.75">
      <c r="L332" s="35"/>
    </row>
    <row r="333" ht="12.75">
      <c r="L333" s="35"/>
    </row>
    <row r="334" ht="12.75">
      <c r="L334" s="35"/>
    </row>
    <row r="335" ht="12.75">
      <c r="L335" s="35"/>
    </row>
    <row r="336" ht="12.75">
      <c r="L336" s="35"/>
    </row>
    <row r="337" ht="12.75">
      <c r="L337" s="35"/>
    </row>
    <row r="338" ht="12.75">
      <c r="L338" s="35"/>
    </row>
    <row r="339" ht="12.75">
      <c r="L339" s="35"/>
    </row>
    <row r="340" ht="12.75">
      <c r="L340" s="35"/>
    </row>
  </sheetData>
  <sheetProtection password="CAF5" sheet="1" objects="1" scenarios="1"/>
  <mergeCells count="9">
    <mergeCell ref="A1:L1"/>
    <mergeCell ref="J6:L6"/>
    <mergeCell ref="B5:L5"/>
    <mergeCell ref="I6:I9"/>
    <mergeCell ref="B6:D6"/>
    <mergeCell ref="F6:H6"/>
    <mergeCell ref="H7:H9"/>
    <mergeCell ref="C7:C9"/>
    <mergeCell ref="A3:L3"/>
  </mergeCells>
  <printOptions horizontalCentered="1"/>
  <pageMargins left="0.68" right="0.61" top="0.83" bottom="1" header="0.67" footer="0.5"/>
  <pageSetup fitToHeight="1" fitToWidth="1" horizontalDpi="600" verticalDpi="600" orientation="landscape" scale="86" r:id="rId1"/>
  <headerFooter alignWithMargins="0">
    <oddFooter>&amp;L&amp;"Arial,Italic"&amp;9MSDE-DBS 10 / 2007&amp;C- 8 -&amp;R&amp;"Arial,Italic"&amp;9Selected Financial Data-Part 1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workbookViewId="0" topLeftCell="A13">
      <selection activeCell="F45" sqref="F45"/>
    </sheetView>
  </sheetViews>
  <sheetFormatPr defaultColWidth="9.140625" defaultRowHeight="12.75"/>
  <cols>
    <col min="1" max="1" width="14.140625" style="0" customWidth="1"/>
    <col min="2" max="2" width="12.57421875" style="0" customWidth="1"/>
    <col min="3" max="3" width="13.28125" style="0" customWidth="1"/>
    <col min="4" max="4" width="14.421875" style="0" customWidth="1"/>
    <col min="5" max="5" width="14.7109375" style="0" customWidth="1"/>
    <col min="6" max="6" width="11.57421875" style="0" customWidth="1"/>
    <col min="7" max="7" width="11.28125" style="0" customWidth="1"/>
    <col min="8" max="8" width="12.421875" style="0" customWidth="1"/>
    <col min="9" max="9" width="11.7109375" style="0" customWidth="1"/>
    <col min="10" max="10" width="10.57421875" style="0" customWidth="1"/>
    <col min="11" max="11" width="14.00390625" style="0" customWidth="1"/>
  </cols>
  <sheetData>
    <row r="1" spans="1:11" ht="12.75">
      <c r="A1" s="452" t="s">
        <v>126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2.7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39"/>
    </row>
    <row r="3" spans="1:11" s="64" customFormat="1" ht="12.75">
      <c r="A3" s="477" t="s">
        <v>262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spans="1:11" ht="13.5" thickBo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15" customHeight="1" thickTop="1">
      <c r="A5" s="440" t="s">
        <v>61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</row>
    <row r="6" spans="1:35" ht="12.75">
      <c r="A6" s="475" t="s">
        <v>133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6" ht="12.75" customHeight="1">
      <c r="A7" s="427" t="s">
        <v>194</v>
      </c>
      <c r="B7" s="473" t="s">
        <v>191</v>
      </c>
      <c r="C7" s="473" t="s">
        <v>196</v>
      </c>
      <c r="D7" s="473" t="s">
        <v>248</v>
      </c>
      <c r="E7" s="473" t="s">
        <v>197</v>
      </c>
      <c r="F7" s="473" t="s">
        <v>198</v>
      </c>
      <c r="G7" s="473" t="s">
        <v>207</v>
      </c>
      <c r="H7" s="473" t="s">
        <v>199</v>
      </c>
      <c r="I7" s="473" t="s">
        <v>204</v>
      </c>
      <c r="J7" s="473" t="s">
        <v>200</v>
      </c>
      <c r="K7" s="473" t="s">
        <v>221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474"/>
      <c r="B8" s="474"/>
      <c r="C8" s="474"/>
      <c r="D8" s="478"/>
      <c r="E8" s="478"/>
      <c r="F8" s="474"/>
      <c r="G8" s="474"/>
      <c r="H8" s="474"/>
      <c r="I8" s="474"/>
      <c r="J8" s="474"/>
      <c r="K8" s="47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11" ht="12.75" customHeight="1">
      <c r="A9" s="474"/>
      <c r="B9" s="474"/>
      <c r="C9" s="474"/>
      <c r="D9" s="474"/>
      <c r="E9" s="474"/>
      <c r="F9" s="474"/>
      <c r="G9" s="474"/>
      <c r="H9" s="474"/>
      <c r="I9" s="474"/>
      <c r="J9" s="474"/>
      <c r="K9" s="474"/>
    </row>
    <row r="10" spans="1:11" ht="13.5" thickBot="1">
      <c r="A10" s="428"/>
      <c r="B10" s="428"/>
      <c r="C10" s="428"/>
      <c r="D10" s="428"/>
      <c r="E10" s="428"/>
      <c r="F10" s="428"/>
      <c r="G10" s="428"/>
      <c r="H10" s="428"/>
      <c r="I10" s="428"/>
      <c r="J10" s="428"/>
      <c r="K10" s="428"/>
    </row>
    <row r="11" spans="1:11" s="47" customFormat="1" ht="12.75">
      <c r="A11" s="181" t="s">
        <v>0</v>
      </c>
      <c r="B11" s="185">
        <f aca="true" t="shared" si="0" ref="B11:K11">SUM(B13:B40)</f>
        <v>208502.59000000003</v>
      </c>
      <c r="C11" s="185">
        <f t="shared" si="0"/>
        <v>8912634.04</v>
      </c>
      <c r="D11" s="185">
        <f t="shared" si="0"/>
        <v>6413.72</v>
      </c>
      <c r="E11" s="398">
        <f t="shared" si="0"/>
        <v>0</v>
      </c>
      <c r="F11" s="398">
        <f t="shared" si="0"/>
        <v>0</v>
      </c>
      <c r="G11" s="398">
        <f t="shared" si="0"/>
        <v>0</v>
      </c>
      <c r="H11" s="185">
        <f t="shared" si="0"/>
        <v>55638.61</v>
      </c>
      <c r="I11" s="398">
        <f t="shared" si="0"/>
        <v>0</v>
      </c>
      <c r="J11" s="398">
        <f t="shared" si="0"/>
        <v>0</v>
      </c>
      <c r="K11" s="185">
        <f t="shared" si="0"/>
        <v>1139847.26</v>
      </c>
    </row>
    <row r="12" spans="1:11" ht="12.7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2" ht="12.75">
      <c r="A13" s="39" t="s">
        <v>1</v>
      </c>
      <c r="B13" s="224">
        <v>5088.54</v>
      </c>
      <c r="C13" s="73">
        <v>61986.83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224">
        <v>13833.52</v>
      </c>
      <c r="L13" s="270"/>
    </row>
    <row r="14" spans="1:11" ht="12.75">
      <c r="A14" s="39" t="s">
        <v>2</v>
      </c>
      <c r="B14" s="224">
        <v>13180.38</v>
      </c>
      <c r="C14" s="176">
        <v>152050.9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224">
        <v>168510.36</v>
      </c>
    </row>
    <row r="15" spans="1:11" ht="12.75">
      <c r="A15" s="39" t="s">
        <v>3</v>
      </c>
      <c r="B15" s="224">
        <v>14125.23</v>
      </c>
      <c r="C15" s="224">
        <v>4464494.46</v>
      </c>
      <c r="D15" s="110">
        <v>0</v>
      </c>
      <c r="E15" s="110">
        <v>0</v>
      </c>
      <c r="F15" s="110">
        <v>0</v>
      </c>
      <c r="G15" s="110">
        <v>0</v>
      </c>
      <c r="H15" s="176">
        <v>55638.61</v>
      </c>
      <c r="I15" s="110">
        <v>0</v>
      </c>
      <c r="J15" s="110">
        <v>0</v>
      </c>
      <c r="K15" s="110">
        <v>0</v>
      </c>
    </row>
    <row r="16" spans="1:11" ht="12.75">
      <c r="A16" s="39" t="s">
        <v>4</v>
      </c>
      <c r="B16" s="224">
        <v>18201.06</v>
      </c>
      <c r="C16" s="224">
        <v>543245.99</v>
      </c>
      <c r="D16" s="224">
        <v>2966.98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224">
        <v>48451.98</v>
      </c>
    </row>
    <row r="17" spans="1:12" ht="12.75">
      <c r="A17" s="39" t="s">
        <v>5</v>
      </c>
      <c r="B17" s="227">
        <v>10985.74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21"/>
    </row>
    <row r="18" spans="1:11" ht="12.75">
      <c r="A18" s="39"/>
      <c r="B18" s="216"/>
      <c r="C18" s="216"/>
      <c r="D18" s="110"/>
      <c r="E18" s="216"/>
      <c r="F18" s="216"/>
      <c r="G18" s="216"/>
      <c r="H18" s="215"/>
      <c r="I18" s="216"/>
      <c r="J18" s="216"/>
      <c r="K18" s="216"/>
    </row>
    <row r="19" spans="1:11" ht="12.75">
      <c r="A19" s="39" t="s">
        <v>6</v>
      </c>
      <c r="B19" s="224">
        <v>6324</v>
      </c>
      <c r="C19" s="224">
        <v>37525.21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224">
        <v>94568.37</v>
      </c>
    </row>
    <row r="20" spans="1:11" ht="12.75">
      <c r="A20" s="39" t="s">
        <v>7</v>
      </c>
      <c r="B20" s="176">
        <v>6214.66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</row>
    <row r="21" spans="1:11" ht="12.75">
      <c r="A21" s="39" t="s">
        <v>8</v>
      </c>
      <c r="B21" s="224">
        <v>2610.72</v>
      </c>
      <c r="C21" s="224">
        <v>26351.78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</row>
    <row r="22" spans="1:11" ht="12.75">
      <c r="A22" s="39" t="s">
        <v>9</v>
      </c>
      <c r="B22" s="224">
        <v>9394.6</v>
      </c>
      <c r="C22" s="224">
        <v>73980.72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224">
        <v>82715.46</v>
      </c>
    </row>
    <row r="23" spans="1:11" ht="12.75">
      <c r="A23" s="39" t="s">
        <v>10</v>
      </c>
      <c r="B23" s="224">
        <v>2405.26</v>
      </c>
      <c r="C23" s="224">
        <v>62146.69</v>
      </c>
      <c r="D23" s="224">
        <v>604.11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76">
        <v>110444.02</v>
      </c>
    </row>
    <row r="24" spans="1:11" ht="12.75">
      <c r="A24" s="39"/>
      <c r="B24" s="216"/>
      <c r="C24" s="216"/>
      <c r="D24" s="216"/>
      <c r="E24" s="216"/>
      <c r="F24" s="216"/>
      <c r="G24" s="216"/>
      <c r="H24" s="216"/>
      <c r="I24" s="216"/>
      <c r="J24" s="216"/>
      <c r="K24" s="216"/>
    </row>
    <row r="25" spans="1:11" ht="12.75">
      <c r="A25" s="39" t="s">
        <v>11</v>
      </c>
      <c r="B25" s="224">
        <v>6510</v>
      </c>
      <c r="C25" s="224">
        <v>197175.52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</row>
    <row r="26" spans="1:11" ht="12.75">
      <c r="A26" s="39" t="s">
        <v>12</v>
      </c>
      <c r="B26" s="224">
        <v>10130.35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</row>
    <row r="27" spans="1:11" ht="12.75">
      <c r="A27" s="39" t="s">
        <v>13</v>
      </c>
      <c r="B27" s="224">
        <v>8490.81</v>
      </c>
      <c r="C27" s="224">
        <v>170448.35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</row>
    <row r="28" spans="1:11" ht="12.75">
      <c r="A28" s="39" t="s">
        <v>14</v>
      </c>
      <c r="B28" s="216"/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</row>
    <row r="29" spans="1:11" ht="14.25">
      <c r="A29" s="39" t="s">
        <v>15</v>
      </c>
      <c r="B29" s="224">
        <v>12324</v>
      </c>
      <c r="C29" s="225">
        <v>27831.61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</row>
    <row r="30" spans="1:11" ht="12.75">
      <c r="A30" s="39"/>
      <c r="B30" s="216"/>
      <c r="C30" s="216"/>
      <c r="D30" s="115"/>
      <c r="E30" s="216"/>
      <c r="F30" s="216"/>
      <c r="G30" s="216"/>
      <c r="H30" s="216"/>
      <c r="I30" s="216"/>
      <c r="J30" s="216"/>
      <c r="K30" s="216"/>
    </row>
    <row r="31" spans="1:11" ht="12.75">
      <c r="A31" s="39" t="s">
        <v>16</v>
      </c>
      <c r="B31" s="224">
        <v>20003.13</v>
      </c>
      <c r="C31" s="224">
        <v>359522.26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224">
        <v>313384.5</v>
      </c>
    </row>
    <row r="32" spans="1:11" ht="12.75">
      <c r="A32" s="39" t="s">
        <v>17</v>
      </c>
      <c r="B32" s="224">
        <v>13593.54</v>
      </c>
      <c r="C32" s="224">
        <v>2493087.07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224">
        <v>243933.74</v>
      </c>
    </row>
    <row r="33" spans="1:11" ht="12.75">
      <c r="A33" s="39" t="s">
        <v>18</v>
      </c>
      <c r="B33" s="224">
        <v>2864.38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</row>
    <row r="34" spans="1:11" ht="12.75">
      <c r="A34" s="39" t="s">
        <v>19</v>
      </c>
      <c r="B34" s="224">
        <v>11399.46</v>
      </c>
      <c r="C34" s="224">
        <v>55608.68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</row>
    <row r="35" spans="1:11" ht="12.75">
      <c r="A35" s="39" t="s">
        <v>20</v>
      </c>
      <c r="B35" s="224">
        <v>7402.79</v>
      </c>
      <c r="C35" s="224">
        <v>54687.71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</row>
    <row r="36" spans="1:11" ht="12.75">
      <c r="A36" s="39"/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 ht="12.75">
      <c r="A37" s="39" t="s">
        <v>21</v>
      </c>
      <c r="B37" s="224">
        <v>5918.16</v>
      </c>
      <c r="C37" s="224">
        <v>107357.08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</row>
    <row r="38" spans="1:11" ht="12.75">
      <c r="A38" s="39" t="s">
        <v>22</v>
      </c>
      <c r="B38" s="224">
        <v>1596.63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224">
        <v>64005.31</v>
      </c>
    </row>
    <row r="39" spans="1:11" ht="12.75">
      <c r="A39" s="39" t="s">
        <v>23</v>
      </c>
      <c r="B39" s="224">
        <v>6523.76</v>
      </c>
      <c r="C39" s="224">
        <v>25133.18</v>
      </c>
      <c r="D39" s="224">
        <v>2842.63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</row>
    <row r="40" spans="1:11" ht="12.75">
      <c r="A40" s="91" t="s">
        <v>24</v>
      </c>
      <c r="B40" s="230">
        <v>13215.39</v>
      </c>
      <c r="C40" s="425">
        <v>0</v>
      </c>
      <c r="D40" s="425">
        <v>0</v>
      </c>
      <c r="E40" s="425">
        <v>0</v>
      </c>
      <c r="F40" s="425">
        <v>0</v>
      </c>
      <c r="G40" s="425">
        <v>0</v>
      </c>
      <c r="H40" s="425">
        <v>0</v>
      </c>
      <c r="I40" s="425">
        <v>0</v>
      </c>
      <c r="J40" s="425">
        <v>0</v>
      </c>
      <c r="K40" s="425">
        <v>0</v>
      </c>
    </row>
    <row r="41" spans="1:11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1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1:11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1:11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1:11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1:11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1:11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1:11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1:11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1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1:11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1:11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1:11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1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1:11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1:11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1:11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1:11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1:11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1:11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1:11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1:11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1:11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1:11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1:11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1:11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1:11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1:11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1:11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1:11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1:11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1:11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1:11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1:11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1:11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1:11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1:11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1:11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1:11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1:11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1:11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1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11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</sheetData>
  <sheetProtection password="CAF5" sheet="1" objects="1" scenarios="1"/>
  <mergeCells count="15">
    <mergeCell ref="A1:K1"/>
    <mergeCell ref="G7:G10"/>
    <mergeCell ref="K7:K10"/>
    <mergeCell ref="A7:A10"/>
    <mergeCell ref="B7:B10"/>
    <mergeCell ref="C7:C10"/>
    <mergeCell ref="E7:E10"/>
    <mergeCell ref="F7:F10"/>
    <mergeCell ref="D7:D10"/>
    <mergeCell ref="H7:H10"/>
    <mergeCell ref="J7:J10"/>
    <mergeCell ref="A6:K6"/>
    <mergeCell ref="A5:K5"/>
    <mergeCell ref="A3:K3"/>
    <mergeCell ref="I7:I10"/>
  </mergeCells>
  <printOptions horizontalCentered="1"/>
  <pageMargins left="0.44" right="0.37" top="0.83" bottom="1" header="0.67" footer="0.5"/>
  <pageSetup fitToHeight="1" fitToWidth="1" horizontalDpi="600" verticalDpi="600" orientation="landscape" scale="94" r:id="rId1"/>
  <headerFooter alignWithMargins="0">
    <oddFooter>&amp;L&amp;"Arial,Italic"&amp;9MSDE-DBS  10 / 2007&amp;C- 9 -&amp;R&amp;"Arial,Italic"&amp;9Selected Financial Data-Part 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2006 PART 1</dc:title>
  <dc:subject>Revised 12-19-2007</dc:subject>
  <dc:creator>Kathy Hiatt/Anita Finn/Ron Ieng/Diane Naparstek</dc:creator>
  <cp:keywords/>
  <dc:description/>
  <cp:lastModifiedBy>dnaparstek</cp:lastModifiedBy>
  <cp:lastPrinted>2007-12-21T22:40:57Z</cp:lastPrinted>
  <dcterms:created xsi:type="dcterms:W3CDTF">1998-03-02T22:29:13Z</dcterms:created>
  <dcterms:modified xsi:type="dcterms:W3CDTF">2008-01-02T19:48:29Z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151000.000000000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