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65" windowWidth="12120" windowHeight="9090" tabRatio="865" activeTab="0"/>
  </bookViews>
  <sheets>
    <sheet name="table 1" sheetId="1" r:id="rId1"/>
    <sheet name="table 2a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state5" sheetId="11" r:id="rId11"/>
    <sheet name="fed1" sheetId="12" r:id="rId12"/>
    <sheet name="fed2" sheetId="13" r:id="rId13"/>
    <sheet name="fed3" sheetId="14" r:id="rId14"/>
    <sheet name="fed4" sheetId="15" r:id="rId15"/>
    <sheet name="fed5" sheetId="16" r:id="rId16"/>
    <sheet name="table9" sheetId="17" r:id="rId17"/>
    <sheet name="table 10" sheetId="18" r:id="rId18"/>
    <sheet name="table11" sheetId="19" r:id="rId19"/>
    <sheet name="table12" sheetId="20" r:id="rId20"/>
    <sheet name="Table 12 Continued" sheetId="21" r:id="rId21"/>
  </sheets>
  <definedNames>
    <definedName name="_xlnm.Print_Area" localSheetId="6">'state1'!$A$1:$H$40</definedName>
    <definedName name="_xlnm.Print_Area" localSheetId="10">'state5'!$A$1:$J$39</definedName>
    <definedName name="_xlnm.Print_Area" localSheetId="0">'table 1'!$A$1:$L$40</definedName>
    <definedName name="_xlnm.Print_Area" localSheetId="18">'table11'!$A$1:$F$46</definedName>
  </definedNames>
  <calcPr fullCalcOnLoad="1"/>
</workbook>
</file>

<file path=xl/sharedStrings.xml><?xml version="1.0" encoding="utf-8"?>
<sst xmlns="http://schemas.openxmlformats.org/spreadsheetml/2006/main" count="1012" uniqueCount="294">
  <si>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</si>
  <si>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</si>
  <si>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</si>
  <si>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</si>
  <si>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</si>
  <si>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</si>
  <si>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</si>
  <si>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</si>
  <si>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</si>
  <si>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</si>
  <si>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</si>
  <si>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</si>
  <si>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</si>
  <si>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</si>
  <si>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</si>
  <si>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</si>
  <si>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</si>
  <si>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</si>
  <si>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</si>
  <si>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</si>
  <si>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</si>
  <si>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</si>
  <si>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</si>
  <si>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</si>
  <si>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</si>
  <si>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</si>
  <si>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</si>
  <si>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</si>
  <si>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Abuse</t>
  </si>
  <si>
    <t>Nonpublic</t>
  </si>
  <si>
    <t>Placements</t>
  </si>
  <si>
    <t>Handicapped Children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</si>
  <si>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</si>
  <si>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</si>
  <si>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</si>
  <si>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</si>
  <si>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</si>
  <si>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</si>
  <si>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</si>
  <si>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</si>
  <si>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</si>
  <si>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</si>
  <si>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</si>
  <si>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</si>
  <si>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</si>
  <si>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</si>
  <si>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</si>
  <si>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</si>
  <si>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</si>
  <si>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</si>
  <si>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</si>
  <si>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</si>
  <si>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</si>
  <si>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</si>
  <si>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</si>
  <si>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</si>
  <si>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</si>
  <si>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</si>
  <si>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</si>
  <si>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Title 1</t>
  </si>
  <si>
    <t>Concentration</t>
  </si>
  <si>
    <t>Expenses</t>
  </si>
  <si>
    <t>Even</t>
  </si>
  <si>
    <t>Start</t>
  </si>
  <si>
    <t>Program</t>
  </si>
  <si>
    <t>Basic and</t>
  </si>
  <si>
    <t>Grants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</si>
  <si>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</si>
  <si>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</si>
  <si>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</si>
  <si>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</si>
  <si>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</si>
  <si>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</si>
  <si>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</si>
  <si>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</si>
  <si>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</si>
  <si>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</si>
  <si>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</si>
  <si>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</si>
  <si>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</si>
  <si>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</si>
  <si>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</si>
  <si>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</si>
  <si>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</si>
  <si>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</si>
  <si>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</si>
  <si>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</si>
  <si>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</si>
  <si>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</si>
  <si>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</si>
  <si>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</si>
  <si>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</si>
  <si>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</si>
  <si>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</si>
  <si>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</si>
  <si>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</si>
  <si>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</si>
  <si>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</si>
  <si>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</si>
  <si>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</si>
  <si>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</si>
  <si>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</si>
  <si>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</si>
  <si>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</si>
  <si>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</si>
  <si>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</si>
  <si>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</si>
  <si>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</si>
  <si>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</si>
  <si>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</si>
  <si>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</si>
  <si>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</si>
  <si>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</si>
  <si>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</si>
  <si>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</si>
  <si>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</si>
  <si>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</si>
  <si>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</si>
  <si>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</si>
  <si>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</si>
  <si>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</si>
  <si>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</si>
  <si>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</si>
  <si>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</si>
  <si>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</si>
  <si>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</si>
  <si>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</si>
  <si>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</si>
  <si>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</si>
  <si>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</si>
  <si>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</si>
  <si>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</si>
  <si>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</si>
  <si>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</si>
  <si>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</si>
  <si>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</si>
  <si>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</si>
  <si>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Partnership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</si>
  <si>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</si>
  <si>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</si>
  <si>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</si>
  <si>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</si>
  <si>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</si>
  <si>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</si>
  <si>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Title II - </t>
  </si>
  <si>
    <t xml:space="preserve">Indian </t>
  </si>
  <si>
    <t>Improvement</t>
  </si>
  <si>
    <t>Title II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</si>
  <si>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</si>
  <si>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</si>
  <si>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</si>
  <si>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</si>
  <si>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</si>
  <si>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</si>
  <si>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</si>
  <si>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</si>
  <si>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Job Training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</si>
  <si>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</si>
  <si>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</si>
  <si>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</si>
  <si>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</si>
  <si>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</si>
  <si>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</si>
  <si>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</si>
  <si>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Comp Sch Reform Demo</t>
  </si>
  <si>
    <t>Combined Grants</t>
  </si>
  <si>
    <t>Higher Education Act - Advanced Placement Fees</t>
  </si>
  <si>
    <t>Cigarette</t>
  </si>
  <si>
    <t>Restitution</t>
  </si>
  <si>
    <t>Gaining</t>
  </si>
  <si>
    <t>Early</t>
  </si>
  <si>
    <t>Awareness</t>
  </si>
  <si>
    <t xml:space="preserve">and </t>
  </si>
  <si>
    <t>Readiness</t>
  </si>
  <si>
    <t>Sexual</t>
  </si>
  <si>
    <t xml:space="preserve">State Share of Teachers' Retirement </t>
  </si>
  <si>
    <t>Limited English Proficient</t>
  </si>
  <si>
    <t>Regular Transportation</t>
  </si>
  <si>
    <t>Transportation of Students with Disibilities</t>
  </si>
  <si>
    <t>DHMH-Tobacco Prevention</t>
  </si>
  <si>
    <t>Continuing Education</t>
  </si>
  <si>
    <t>Local      Education Agency</t>
  </si>
  <si>
    <t>Teacher Stipends &amp; Bonuses</t>
  </si>
  <si>
    <t>Reconsitution</t>
  </si>
  <si>
    <t>Hoyer Funds II</t>
  </si>
  <si>
    <t>Hoyer General Funds</t>
  </si>
  <si>
    <t>Hoyer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</si>
  <si>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</si>
  <si>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</si>
  <si>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</si>
  <si>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</si>
  <si>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</si>
  <si>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</si>
  <si>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</si>
  <si>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</si>
  <si>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</si>
  <si>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</si>
  <si>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</si>
  <si>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</si>
  <si>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</si>
  <si>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</si>
  <si>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Fine Arts Initiative</t>
  </si>
  <si>
    <t>Schools for Success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</si>
  <si>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</si>
  <si>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</si>
  <si>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</si>
  <si>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</si>
  <si>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</si>
  <si>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</si>
  <si>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</si>
  <si>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National Science Foundation Grants</t>
  </si>
  <si>
    <t>Other Earnings on Investment</t>
  </si>
  <si>
    <t>Guaranteed</t>
  </si>
  <si>
    <t>Tax</t>
  </si>
  <si>
    <t>Base</t>
  </si>
  <si>
    <t>Unrestricted and Impact Aid Funds</t>
  </si>
  <si>
    <t xml:space="preserve">Charter </t>
  </si>
  <si>
    <t>Carl T. Perkins - Career and Technology</t>
  </si>
  <si>
    <t>Transition to</t>
  </si>
  <si>
    <t>Teaching</t>
  </si>
  <si>
    <t>Advance Placement Program</t>
  </si>
  <si>
    <t>Public Health Services Act</t>
  </si>
  <si>
    <t>AIDS</t>
  </si>
  <si>
    <t>ROTC Program</t>
  </si>
  <si>
    <t>Social Security Act Medical Assistance</t>
  </si>
  <si>
    <t>Stewart B. McKinney Homeless Assistance</t>
  </si>
  <si>
    <t>Safe and Drug Free Communities</t>
  </si>
  <si>
    <t>ESEA Title X - Javits Gifted and Talented</t>
  </si>
  <si>
    <t>Title X - Fund for Improvement of Education</t>
  </si>
  <si>
    <t xml:space="preserve">Titles VI </t>
  </si>
  <si>
    <t>Total Local Wealth *</t>
  </si>
  <si>
    <t>GCEI - Regional Difference</t>
  </si>
  <si>
    <t>(D)</t>
  </si>
  <si>
    <t>Additional Grant to Adjusted Calculation</t>
  </si>
  <si>
    <t>Appropriation**</t>
  </si>
  <si>
    <r>
      <t xml:space="preserve">***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</si>
  <si>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</si>
  <si>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</si>
  <si>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</si>
  <si>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</si>
  <si>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</si>
  <si>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</si>
  <si>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</si>
  <si>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</si>
  <si>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Current Expense Fund (Continued)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</si>
  <si>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</si>
  <si>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</si>
  <si>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</si>
  <si>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</si>
  <si>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</si>
  <si>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</si>
  <si>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</si>
  <si>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</si>
  <si>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</si>
  <si>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t>Revenue from All Sources for Current Expenses*:   Maryland Public Schools:  2007 - 2008</t>
  </si>
  <si>
    <t>Revenue from All Sources* for Maryland Public Schools:  2007-2008</t>
  </si>
  <si>
    <t>Revenue from All Sources for School Construction:  Maryland Public Schools:  2007 - 2008</t>
  </si>
  <si>
    <t>Revenue from the State for Maryland Public School Purposes:  2007 -2008</t>
  </si>
  <si>
    <t>Revenue from the State for Maryland Public School Purposes: 2007 - 2008</t>
  </si>
  <si>
    <t>Revenue from the State for Maryland Public School Purposes:  2007 - 2008</t>
  </si>
  <si>
    <t>Revenue from the Federal Government for Maryland Public Schools:  2007 - 2008</t>
  </si>
  <si>
    <t>Revenue from the Federal Government for Maryland Public Schools:  2007 -2008</t>
  </si>
  <si>
    <t>Revenue from All Sources for Food Service Operations:  Maryland Public Schools:  2007- 2008</t>
  </si>
  <si>
    <t>Revenue from All Sources for Debt Service*:  Maryland Public Schools:  2007 - 2008</t>
  </si>
  <si>
    <t>**  Excludes Baltimore City Public Schools  $7,726,540.14 appropriated within the Current Expenses Fund,but transferred to Debt Service Fund.</t>
  </si>
  <si>
    <t xml:space="preserve">***  Baltimore City Public Schools  appropriated $7,726,540.14  for debt servicing within the Current Expenses Fund; this amount is classified here as local appropriation. </t>
  </si>
  <si>
    <r>
      <t xml:space="preserve">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</si>
  <si>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  <family val="0"/>
      </rPr>
      <t>**</t>
    </r>
  </si>
  <si>
    <t>Foundation Current Expense Formula Aid for Maryland Public Schools:  2007 - 2008</t>
  </si>
  <si>
    <t>Enrollment  09-30-2006</t>
  </si>
  <si>
    <t>Total Foundation Program (Enrollment X $6,694)</t>
  </si>
  <si>
    <t>Local Share         ( Local Wealth X .084177%)</t>
  </si>
  <si>
    <t>Minimum State Share = Foundation Progam x .15           (S2)</t>
  </si>
  <si>
    <t>SOURCE:  MSDE final calculations for the Major State Aid Programs for Fiscal Year 2008</t>
  </si>
  <si>
    <t>State Compensatory Education Aid for Maryland Public Schools:  2007 - 2008</t>
  </si>
  <si>
    <t>10-31-2006 Eligible FARMS Students</t>
  </si>
  <si>
    <t>Students        X $3,247</t>
  </si>
  <si>
    <t>Grant Adjusted Calculation        @ .7768129</t>
  </si>
  <si>
    <t>(B) X 80%</t>
  </si>
  <si>
    <t>High School/High Technology</t>
  </si>
  <si>
    <r>
      <t xml:space="preserve">* </t>
    </r>
    <r>
      <rPr>
        <sz val="10"/>
        <rFont val="Wingdings"/>
        <family val="0"/>
      </rPr>
      <t xml:space="preserve">  </t>
    </r>
    <r>
      <rPr>
        <sz val="10"/>
        <rFont val="Arial"/>
        <family val="2"/>
      </rPr>
      <t>Excerpt from Table 1 - County Assessable Base for the Tax year beginning July 1, 2007 -- Maryland State Department of Assessment</t>
    </r>
  </si>
  <si>
    <t xml:space="preserve">        and Taxation Annual Report 2008. Base Estimate date: November 30, 2007. Figures for Allegany County, Wicomico County and Worcester </t>
  </si>
  <si>
    <r>
      <t>July 1, 2007 Population Estimates</t>
    </r>
    <r>
      <rPr>
        <sz val="10"/>
        <rFont val="Arial"/>
        <family val="2"/>
      </rPr>
      <t xml:space="preserve"> ***</t>
    </r>
  </si>
  <si>
    <t>**     Half-time prekindergarten pupils are expressed in full-time equivalents in arriving at per pupil costs.</t>
  </si>
  <si>
    <t>Assessed Valuation per Pupil Belonging and per Capita:  State of Maryland:  2007 - 2008</t>
  </si>
  <si>
    <t>Maryland Public Schools:  2007 - 2008</t>
  </si>
  <si>
    <t>Local Appropriations in Percent of Total Local Wealth</t>
  </si>
  <si>
    <t>Local Appropriations for Public Schools as a Percent of Assessed Valuation and Total Local Wealth</t>
  </si>
  <si>
    <r>
      <t>***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Excerpt from Table 1 Annual Estimates of the Population for Counties of Maryland: April 1, 2000 to July 1, 2008 (CO-EST2008-01-24).</t>
    </r>
  </si>
  <si>
    <t xml:space="preserve">      Source: http:www.census.gov/popest/counties/tables/CO-EST2008-01-24.xls </t>
  </si>
  <si>
    <t xml:space="preserve">                  Release Date: March 19, 2009.</t>
  </si>
  <si>
    <t>Table 12 (Continued)</t>
  </si>
  <si>
    <t xml:space="preserve">         County carry the adjustments of Business Personal Property Tax base per report printed as of March 10, 2009. </t>
  </si>
  <si>
    <t>*    Excludes federal revenue and state revenue for food service operations; excludes sale of meals and value of USDA commodities.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</si>
</sst>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\ ;\(&quot;$&quot;#,##0\)"/>
    <numFmt numFmtId="170" formatCode="&quot;$&quot;#,##0.00\ ;\(&quot;$&quot;#,##0.00\)"/>
    <numFmt numFmtId="171" formatCode="#,##0.000"/>
    <numFmt numFmtId="172" formatCode="#,##0.0000"/>
    <numFmt numFmtId="173" formatCode="&quot;$&quot;#,##0.0\ ;\(&quot;$&quot;#,##0.0\)"/>
    <numFmt numFmtId="174" formatCode="_(* #,##0.0_);_(* \(#,##0.0\);_(* &quot;-&quot;?_);_(@_)"/>
    <numFmt numFmtId="175" formatCode="0.000%"/>
    <numFmt numFmtId="176" formatCode="0.0000%"/>
    <numFmt numFmtId="177" formatCode="0.00000%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&quot;$&quot;#,##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m/d"/>
    <numFmt numFmtId="195" formatCode="mmmm\ d\,\ yyyy"/>
    <numFmt numFmtId="196" formatCode="_(* #,##0.0000_);_(* \(#,##0.0000\);_(* &quot;-&quot;?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000_);_(* \(#,##0.00000\);_(* &quot;-&quot;?????_);_(@_)"/>
    <numFmt numFmtId="201" formatCode="[$€-2]\ #,##0.00_);[Red]\([$€-2]\ #,##0.00\)"/>
    <numFmt numFmtId="202" formatCode="0.0"/>
  </numFmts>
  <fonts count="46">
    <font>
      <sz val="10"/>
      <name val="Arial"/>
      <family val="0"/>
    </font>
    <font>
      <sz val="10"/>
      <name val="Times New Roman"/>
      <family val="0"/>
    </font>
    <font>
      <b/>
      <sz val="26"/>
      <name val="Arial"/>
      <family val="2"/>
    </font>
    <font>
      <sz val="10"/>
      <name val="Wingdings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43" fontId="0" fillId="0" borderId="0" xfId="42" applyFont="1" applyBorder="1" applyAlignment="1">
      <alignment/>
    </xf>
    <xf numFmtId="167" fontId="0" fillId="0" borderId="0" xfId="0" applyNumberFormat="1" applyBorder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44" applyNumberFormat="1" applyFont="1" applyAlignment="1">
      <alignment/>
    </xf>
    <xf numFmtId="0" fontId="0" fillId="0" borderId="0" xfId="0" applyBorder="1" applyAlignment="1">
      <alignment wrapText="1"/>
    </xf>
    <xf numFmtId="167" fontId="0" fillId="0" borderId="0" xfId="44" applyNumberFormat="1" applyFont="1" applyBorder="1" applyAlignment="1">
      <alignment horizontal="left" indent="2"/>
    </xf>
    <xf numFmtId="0" fontId="0" fillId="0" borderId="12" xfId="0" applyFont="1" applyBorder="1" applyAlignment="1">
      <alignment/>
    </xf>
    <xf numFmtId="49" fontId="0" fillId="0" borderId="0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0" fillId="0" borderId="0" xfId="42" applyNumberFormat="1" applyFont="1" applyFill="1" applyAlignment="1">
      <alignment/>
    </xf>
    <xf numFmtId="44" fontId="0" fillId="0" borderId="0" xfId="0" applyNumberFormat="1" applyFont="1" applyFill="1" applyAlignment="1" applyProtection="1">
      <alignment/>
      <protection locked="0"/>
    </xf>
    <xf numFmtId="165" fontId="0" fillId="0" borderId="15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67" fontId="5" fillId="0" borderId="0" xfId="44" applyNumberFormat="1" applyFont="1" applyBorder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10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 wrapText="1"/>
    </xf>
    <xf numFmtId="0" fontId="7" fillId="0" borderId="0" xfId="0" applyFont="1" applyAlignment="1">
      <alignment/>
    </xf>
    <xf numFmtId="41" fontId="0" fillId="0" borderId="0" xfId="42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0" fillId="0" borderId="0" xfId="42" applyNumberFormat="1" applyFont="1" applyAlignment="1" applyProtection="1">
      <alignment/>
      <protection locked="0"/>
    </xf>
    <xf numFmtId="165" fontId="0" fillId="0" borderId="13" xfId="42" applyNumberFormat="1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5" fillId="0" borderId="0" xfId="42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 horizontal="left" indent="2"/>
    </xf>
    <xf numFmtId="0" fontId="0" fillId="0" borderId="0" xfId="0" applyFont="1" applyFill="1" applyAlignment="1">
      <alignment/>
    </xf>
    <xf numFmtId="165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7" fontId="0" fillId="0" borderId="0" xfId="44" applyNumberFormat="1" applyFont="1" applyBorder="1" applyAlignment="1">
      <alignment horizontal="center"/>
    </xf>
    <xf numFmtId="10" fontId="0" fillId="0" borderId="0" xfId="59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2" fontId="0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42" fontId="0" fillId="0" borderId="0" xfId="42" applyNumberFormat="1" applyFont="1" applyFill="1" applyAlignment="1">
      <alignment/>
    </xf>
    <xf numFmtId="42" fontId="0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42" fontId="0" fillId="0" borderId="0" xfId="44" applyNumberFormat="1" applyFont="1" applyAlignment="1">
      <alignment/>
    </xf>
    <xf numFmtId="165" fontId="0" fillId="0" borderId="0" xfId="42" applyNumberFormat="1" applyFont="1" applyFill="1" applyAlignment="1">
      <alignment/>
    </xf>
    <xf numFmtId="0" fontId="0" fillId="0" borderId="16" xfId="0" applyBorder="1" applyAlignment="1">
      <alignment horizontal="center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13" xfId="42" applyNumberFormat="1" applyFont="1" applyFill="1" applyBorder="1" applyAlignment="1">
      <alignment/>
    </xf>
    <xf numFmtId="42" fontId="0" fillId="0" borderId="0" xfId="44" applyNumberFormat="1" applyFont="1" applyBorder="1" applyAlignment="1">
      <alignment/>
    </xf>
    <xf numFmtId="43" fontId="0" fillId="0" borderId="0" xfId="42" applyFont="1" applyFill="1" applyAlignment="1" applyProtection="1">
      <alignment/>
      <protection locked="0"/>
    </xf>
    <xf numFmtId="165" fontId="0" fillId="0" borderId="0" xfId="42" applyNumberFormat="1" applyFont="1" applyBorder="1" applyAlignment="1">
      <alignment horizontal="left"/>
    </xf>
    <xf numFmtId="167" fontId="0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/>
    </xf>
    <xf numFmtId="165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167" fontId="0" fillId="0" borderId="0" xfId="44" applyNumberFormat="1" applyFont="1" applyFill="1" applyAlignment="1">
      <alignment horizontal="left" indent="2"/>
    </xf>
    <xf numFmtId="167" fontId="0" fillId="0" borderId="0" xfId="44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43" fontId="0" fillId="0" borderId="0" xfId="42" applyFont="1" applyFill="1" applyAlignment="1">
      <alignment/>
    </xf>
    <xf numFmtId="42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11" xfId="42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center"/>
    </xf>
    <xf numFmtId="165" fontId="0" fillId="0" borderId="0" xfId="42" applyNumberFormat="1" applyFont="1" applyFill="1" applyAlignment="1" applyProtection="1">
      <alignment/>
      <protection locked="0"/>
    </xf>
    <xf numFmtId="43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>
      <alignment/>
    </xf>
    <xf numFmtId="42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 applyProtection="1">
      <alignment/>
      <protection locked="0"/>
    </xf>
    <xf numFmtId="167" fontId="0" fillId="0" borderId="0" xfId="44" applyNumberFormat="1" applyFont="1" applyFill="1" applyAlignment="1" applyProtection="1">
      <alignment/>
      <protection locked="0"/>
    </xf>
    <xf numFmtId="167" fontId="0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Alignment="1">
      <alignment horizontal="center"/>
    </xf>
    <xf numFmtId="42" fontId="0" fillId="0" borderId="0" xfId="44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7" fontId="0" fillId="0" borderId="0" xfId="44" applyNumberFormat="1" applyFont="1" applyFill="1" applyAlignment="1">
      <alignment horizontal="left" indent="2"/>
    </xf>
    <xf numFmtId="167" fontId="0" fillId="0" borderId="0" xfId="44" applyNumberFormat="1" applyFont="1" applyFill="1" applyAlignment="1">
      <alignment/>
    </xf>
    <xf numFmtId="167" fontId="0" fillId="0" borderId="0" xfId="44" applyNumberFormat="1" applyFont="1" applyFill="1" applyAlignment="1">
      <alignment horizontal="left" indent="3"/>
    </xf>
    <xf numFmtId="167" fontId="0" fillId="0" borderId="13" xfId="44" applyNumberFormat="1" applyFont="1" applyFill="1" applyBorder="1" applyAlignment="1">
      <alignment horizontal="left" indent="3"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 indent="2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 indent="3"/>
    </xf>
    <xf numFmtId="17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left" indent="3"/>
    </xf>
    <xf numFmtId="165" fontId="0" fillId="0" borderId="13" xfId="42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67" fontId="0" fillId="0" borderId="0" xfId="44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5" fontId="0" fillId="0" borderId="13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41" fontId="0" fillId="0" borderId="0" xfId="0" applyNumberFormat="1" applyFont="1" applyFill="1" applyBorder="1" applyAlignment="1" quotePrefix="1">
      <alignment/>
    </xf>
    <xf numFmtId="41" fontId="0" fillId="0" borderId="0" xfId="0" applyNumberFormat="1" applyFont="1" applyAlignment="1">
      <alignment/>
    </xf>
    <xf numFmtId="165" fontId="5" fillId="0" borderId="0" xfId="42" applyNumberFormat="1" applyFont="1" applyFill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1" fontId="11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11" xfId="42" applyNumberFormat="1" applyFont="1" applyBorder="1" applyAlignment="1">
      <alignment horizontal="center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left" vertical="top" wrapText="1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 quotePrefix="1">
      <alignment horizontal="right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2" fontId="0" fillId="0" borderId="0" xfId="0" applyNumberFormat="1" applyFont="1" applyFill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165" fontId="0" fillId="0" borderId="0" xfId="42" applyNumberFormat="1" applyFont="1" applyFill="1" applyAlignment="1" applyProtection="1">
      <alignment horizontal="right"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41" fontId="0" fillId="0" borderId="13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 horizontal="right" vertical="top"/>
    </xf>
    <xf numFmtId="165" fontId="0" fillId="0" borderId="0" xfId="42" applyNumberFormat="1" applyFont="1" applyFill="1" applyBorder="1" applyAlignment="1" applyProtection="1">
      <alignment/>
      <protection locked="0"/>
    </xf>
    <xf numFmtId="41" fontId="0" fillId="0" borderId="0" xfId="44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Fill="1" applyAlignment="1">
      <alignment horizontal="right" vertical="top"/>
    </xf>
    <xf numFmtId="165" fontId="0" fillId="0" borderId="13" xfId="42" applyNumberFormat="1" applyFont="1" applyFill="1" applyBorder="1" applyAlignment="1">
      <alignment horizontal="right" vertical="top"/>
    </xf>
    <xf numFmtId="165" fontId="0" fillId="0" borderId="13" xfId="42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44" applyNumberFormat="1" applyFont="1" applyAlignment="1" applyProtection="1">
      <alignment/>
      <protection locked="0"/>
    </xf>
    <xf numFmtId="41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 applyProtection="1">
      <alignment/>
      <protection locked="0"/>
    </xf>
    <xf numFmtId="165" fontId="0" fillId="0" borderId="0" xfId="42" applyNumberFormat="1" applyFont="1" applyFill="1" applyAlignment="1" applyProtection="1">
      <alignment horizontal="left" indent="2"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44" fontId="0" fillId="0" borderId="18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5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3" fontId="0" fillId="0" borderId="1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9" xfId="42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20" xfId="42" applyNumberFormat="1" applyFont="1" applyFill="1" applyBorder="1" applyAlignment="1">
      <alignment horizont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5" fontId="0" fillId="0" borderId="13" xfId="42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17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4.140625" style="113" bestFit="1" customWidth="1"/>
    <col min="2" max="2" width="15.57421875" style="113" customWidth="1"/>
    <col min="3" max="3" width="14.8515625" style="113" bestFit="1" customWidth="1"/>
    <col min="4" max="4" width="13.28125" style="113" bestFit="1" customWidth="1"/>
    <col min="5" max="5" width="14.8515625" style="113" bestFit="1" customWidth="1"/>
    <col min="6" max="6" width="15.00390625" style="113" bestFit="1" customWidth="1"/>
    <col min="7" max="7" width="13.28125" style="113" bestFit="1" customWidth="1"/>
    <col min="8" max="8" width="2.7109375" style="113" customWidth="1"/>
    <col min="9" max="12" width="9.140625" style="113" customWidth="1"/>
  </cols>
  <sheetData>
    <row r="1" spans="1:12" ht="12.75">
      <c r="A1" s="374" t="s">
        <v>91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2.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ht="12.75">
      <c r="A3" s="374" t="s">
        <v>255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3.5" thickBot="1">
      <c r="A4" s="23"/>
      <c r="B4" s="146"/>
      <c r="C4" s="23"/>
      <c r="D4" s="23"/>
      <c r="E4" s="23"/>
      <c r="F4" s="23"/>
      <c r="G4" s="23"/>
      <c r="H4" s="23"/>
      <c r="I4" s="50"/>
      <c r="J4" s="23"/>
      <c r="K4" s="23"/>
      <c r="L4" s="23"/>
    </row>
    <row r="5" spans="1:60" ht="15" customHeight="1" thickTop="1">
      <c r="A5" s="147" t="s">
        <v>83</v>
      </c>
      <c r="B5" s="148" t="s">
        <v>45</v>
      </c>
      <c r="C5" s="372"/>
      <c r="D5" s="372"/>
      <c r="E5" s="373"/>
      <c r="F5" s="373"/>
      <c r="G5" s="147"/>
      <c r="H5" s="147"/>
      <c r="I5" s="372" t="s">
        <v>88</v>
      </c>
      <c r="J5" s="372"/>
      <c r="K5" s="372"/>
      <c r="L5" s="37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12" ht="12.75">
      <c r="A6" s="32" t="s">
        <v>35</v>
      </c>
      <c r="B6" s="149" t="s">
        <v>89</v>
      </c>
      <c r="C6" s="371" t="s">
        <v>83</v>
      </c>
      <c r="D6" s="371"/>
      <c r="E6" s="150"/>
      <c r="F6" s="150"/>
      <c r="G6" s="149" t="s">
        <v>85</v>
      </c>
      <c r="H6" s="149"/>
      <c r="I6" s="151"/>
      <c r="J6" s="151"/>
      <c r="K6" s="151"/>
      <c r="L6" s="151" t="s">
        <v>153</v>
      </c>
    </row>
    <row r="7" spans="1:12" ht="13.5" thickBot="1">
      <c r="A7" s="55" t="s">
        <v>141</v>
      </c>
      <c r="B7" s="152" t="s">
        <v>90</v>
      </c>
      <c r="C7" s="52" t="s">
        <v>84</v>
      </c>
      <c r="D7" s="52" t="s">
        <v>267</v>
      </c>
      <c r="E7" s="52" t="s">
        <v>46</v>
      </c>
      <c r="F7" s="52" t="s">
        <v>53</v>
      </c>
      <c r="G7" s="52" t="s">
        <v>87</v>
      </c>
      <c r="H7" s="52"/>
      <c r="I7" s="152" t="s">
        <v>83</v>
      </c>
      <c r="J7" s="152" t="s">
        <v>46</v>
      </c>
      <c r="K7" s="153" t="s">
        <v>53</v>
      </c>
      <c r="L7" s="153" t="s">
        <v>87</v>
      </c>
    </row>
    <row r="8" spans="1:12" ht="12.75">
      <c r="A8" s="32" t="s">
        <v>0</v>
      </c>
      <c r="B8" s="154">
        <f aca="true" t="shared" si="0" ref="B8:G8">SUM(B10:B37)</f>
        <v>12951089863.050001</v>
      </c>
      <c r="C8" s="154">
        <f t="shared" si="0"/>
        <v>6423046339.84</v>
      </c>
      <c r="D8" s="154">
        <f t="shared" si="0"/>
        <v>269550466.19</v>
      </c>
      <c r="E8" s="154">
        <f t="shared" si="0"/>
        <v>5503171494.609999</v>
      </c>
      <c r="F8" s="154">
        <f t="shared" si="0"/>
        <v>714971112.7900002</v>
      </c>
      <c r="G8" s="154">
        <f t="shared" si="0"/>
        <v>40350449.620000005</v>
      </c>
      <c r="H8" s="154"/>
      <c r="I8" s="155">
        <f>IF(B8&lt;&gt;0,((+C8+D8)/B8),(IF(C8&lt;&gt;0,1,0)))</f>
        <v>0.5167593520545524</v>
      </c>
      <c r="J8" s="155">
        <f>IF($B8&lt;&gt;0,(E8/$B8),(IF(E8&lt;&gt;0,1,0)))</f>
        <v>0.4249195668320375</v>
      </c>
      <c r="K8" s="155">
        <f>IF($B8&lt;&gt;0,(F8/$B8),(IF(F8&lt;&gt;0,1,0)))</f>
        <v>0.05520547848485266</v>
      </c>
      <c r="L8" s="155">
        <f>IF($B8&lt;&gt;0,(G8/$B8),(IF(G8&lt;&gt;0,1,0)))</f>
        <v>0.0031156026285572708</v>
      </c>
    </row>
    <row r="9" spans="1:12" ht="12.75">
      <c r="A9" s="156"/>
      <c r="B9" s="157"/>
      <c r="C9" s="157"/>
      <c r="D9" s="30"/>
      <c r="E9" s="151"/>
      <c r="F9" s="151"/>
      <c r="G9" s="151"/>
      <c r="H9" s="151"/>
      <c r="I9" s="158"/>
      <c r="J9" s="158"/>
      <c r="K9" s="158"/>
      <c r="L9" s="158"/>
    </row>
    <row r="10" spans="1:12" ht="12.75">
      <c r="A10" s="23" t="s">
        <v>1</v>
      </c>
      <c r="B10" s="98">
        <f aca="true" t="shared" si="1" ref="B10:B28">SUM(C10:G10)</f>
        <v>141562177.27</v>
      </c>
      <c r="C10" s="157">
        <f>'table 2a'!C11+table4!C11+table5!C11</f>
        <v>30674572.58</v>
      </c>
      <c r="D10" s="30">
        <f>'table 2a'!D11+table4!D11+table5!D11+'table 6'!C12+'table 6'!D12+'table 6'!F12</f>
        <v>2739953.43</v>
      </c>
      <c r="E10" s="157">
        <f>'table 2a'!E11+table4!E11+table5!E11+'table 6'!G12</f>
        <v>89247424.11</v>
      </c>
      <c r="F10" s="30">
        <f>'table 2a'!F11+table4!F11+table5!F11+'table 6'!I12</f>
        <v>11239209.639999999</v>
      </c>
      <c r="G10" s="53">
        <f>table4!G11+table5!G11+'table 6'!K12</f>
        <v>7661017.510000001</v>
      </c>
      <c r="H10" s="159"/>
      <c r="I10" s="160">
        <f>IF(B10&lt;&gt;0,((+C10+D10)/B10*100),(IF(C10&lt;&gt;0,1,0)))</f>
        <v>23.604133995670914</v>
      </c>
      <c r="J10" s="160">
        <f aca="true" t="shared" si="2" ref="J10:L14">IF($B10&lt;&gt;0,(E10/$B10*100),(IF(E10&lt;&gt;0,1,0)))</f>
        <v>63.04468173004951</v>
      </c>
      <c r="K10" s="160">
        <f t="shared" si="2"/>
        <v>7.939415638234763</v>
      </c>
      <c r="L10" s="160">
        <f t="shared" si="2"/>
        <v>5.411768636044799</v>
      </c>
    </row>
    <row r="11" spans="1:12" ht="12.75">
      <c r="A11" s="23" t="s">
        <v>2</v>
      </c>
      <c r="B11" s="98">
        <f t="shared" si="1"/>
        <v>988180429.06</v>
      </c>
      <c r="C11" s="157">
        <f>'table 2a'!C12+table4!C12+table5!C12</f>
        <v>600558158</v>
      </c>
      <c r="D11" s="30">
        <f>'table 2a'!D12+table4!D12+table5!D12+'table 6'!C13+'table 6'!D13+'table 6'!F13</f>
        <v>17247094.79</v>
      </c>
      <c r="E11" s="157">
        <f>'table 2a'!E12+table4!E12+table5!E12+'table 6'!G13</f>
        <v>323199575.86</v>
      </c>
      <c r="F11" s="30">
        <f>'table 2a'!F12+table4!F12+table5!F12+'table 6'!I13</f>
        <v>47175600.41</v>
      </c>
      <c r="G11" s="53">
        <f>table4!G12+table5!G12+'table 6'!K13</f>
        <v>0</v>
      </c>
      <c r="H11" s="98"/>
      <c r="I11" s="160">
        <f>IF(B11&lt;&gt;0,((+C11+D11)/B11*100),(IF(C11&lt;&gt;0,1,0)))</f>
        <v>62.51947869253828</v>
      </c>
      <c r="J11" s="160">
        <f t="shared" si="2"/>
        <v>32.706534794201644</v>
      </c>
      <c r="K11" s="160">
        <f t="shared" si="2"/>
        <v>4.7739865132600805</v>
      </c>
      <c r="L11" s="160">
        <f t="shared" si="2"/>
        <v>0</v>
      </c>
    </row>
    <row r="12" spans="1:12" ht="12.75">
      <c r="A12" s="23" t="s">
        <v>3</v>
      </c>
      <c r="B12" s="98">
        <f t="shared" si="1"/>
        <v>1392830180.2500002</v>
      </c>
      <c r="C12" s="157">
        <f>'table 2a'!C13+table4!C13+table5!C13</f>
        <v>267084390.41</v>
      </c>
      <c r="D12" s="30">
        <f>'table 2a'!D13+table4!D13+table5!D13+'table 6'!C14+'table 6'!D14+'table 6'!F14</f>
        <v>15731264.910000004</v>
      </c>
      <c r="E12" s="157">
        <f>'table 2a'!E13+table4!E13+table5!E13+'table 6'!G14</f>
        <v>937498877.3000001</v>
      </c>
      <c r="F12" s="30">
        <f>'table 2a'!F13+table4!F13+table5!F13+'table 6'!I14</f>
        <v>162776011.42999995</v>
      </c>
      <c r="G12" s="53">
        <f>table4!G13+table5!G13+'table 6'!K14</f>
        <v>9739636.2</v>
      </c>
      <c r="H12" s="98"/>
      <c r="I12" s="160">
        <f>IF(B12&lt;&gt;0,((+C12+D12)/B12*100),(IF(C12&lt;&gt;0,1,0)))</f>
        <v>20.30510677685324</v>
      </c>
      <c r="J12" s="160">
        <f t="shared" si="2"/>
        <v>67.30891465402678</v>
      </c>
      <c r="K12" s="160">
        <f t="shared" si="2"/>
        <v>11.686709100515264</v>
      </c>
      <c r="L12" s="160">
        <f t="shared" si="2"/>
        <v>0.6992694686046955</v>
      </c>
    </row>
    <row r="13" spans="1:12" ht="12.75">
      <c r="A13" s="23" t="s">
        <v>4</v>
      </c>
      <c r="B13" s="98">
        <f t="shared" si="1"/>
        <v>1493312490.4099998</v>
      </c>
      <c r="C13" s="157">
        <f>'table 2a'!C14+table4!C14+table5!C14</f>
        <v>743991035</v>
      </c>
      <c r="D13" s="30">
        <f>'table 2a'!D14+table4!D14+table5!D14+'table 6'!C15+'table 6'!D15+'table 6'!F15</f>
        <v>21271140.92</v>
      </c>
      <c r="E13" s="157">
        <f>'table 2a'!E14+table4!E14+table5!E14+'table 6'!G15</f>
        <v>644803201.2</v>
      </c>
      <c r="F13" s="30">
        <f>'table 2a'!F14+table4!F14+table5!F14+'table 6'!I15</f>
        <v>83202046.28999999</v>
      </c>
      <c r="G13" s="53">
        <f>table4!G14+table5!G14+'table 6'!K15</f>
        <v>45067</v>
      </c>
      <c r="H13" s="98"/>
      <c r="I13" s="160">
        <f>IF(B13&lt;&gt;0,((+C13+D13)/B13*100),(IF(C13&lt;&gt;0,1,0)))</f>
        <v>51.24595025049925</v>
      </c>
      <c r="J13" s="160">
        <f t="shared" si="2"/>
        <v>43.17938846295758</v>
      </c>
      <c r="K13" s="160">
        <f t="shared" si="2"/>
        <v>5.571643364956805</v>
      </c>
      <c r="L13" s="160">
        <f t="shared" si="2"/>
        <v>0.0030179215863671326</v>
      </c>
    </row>
    <row r="14" spans="1:12" ht="12.75">
      <c r="A14" s="23" t="s">
        <v>5</v>
      </c>
      <c r="B14" s="98">
        <f t="shared" si="1"/>
        <v>233740193.77999994</v>
      </c>
      <c r="C14" s="157">
        <f>'table 2a'!C15+table4!C15+table5!C15</f>
        <v>110816610.25</v>
      </c>
      <c r="D14" s="30">
        <f>'table 2a'!D15+table4!D15+table5!D15+'table 6'!C16+'table 6'!D16+'table 6'!F16</f>
        <v>7240801.96</v>
      </c>
      <c r="E14" s="157">
        <f>'table 2a'!E15+table4!E15+table5!E15+'table 6'!G16</f>
        <v>107530974.33999997</v>
      </c>
      <c r="F14" s="30">
        <f>'table 2a'!F15+table4!F15+table5!F15+'table 6'!I16</f>
        <v>8151807.23</v>
      </c>
      <c r="G14" s="53">
        <f>table4!G15+table5!G15+'table 6'!K16</f>
        <v>0</v>
      </c>
      <c r="H14" s="98"/>
      <c r="I14" s="160">
        <f>IF(B14&lt;&gt;0,((+C14+D14)/B14*100),(IF(C14&lt;&gt;0,1,0)))</f>
        <v>50.50796369285017</v>
      </c>
      <c r="J14" s="160">
        <f t="shared" si="2"/>
        <v>46.004485835760825</v>
      </c>
      <c r="K14" s="160">
        <f t="shared" si="2"/>
        <v>3.4875504713890213</v>
      </c>
      <c r="L14" s="160">
        <f t="shared" si="2"/>
        <v>0</v>
      </c>
    </row>
    <row r="15" spans="1:12" ht="12.75">
      <c r="A15" s="23"/>
      <c r="B15" s="98"/>
      <c r="C15" s="30"/>
      <c r="D15" s="30"/>
      <c r="E15" s="53"/>
      <c r="F15" s="30"/>
      <c r="G15" s="30"/>
      <c r="H15" s="98"/>
      <c r="I15" s="160"/>
      <c r="J15" s="160"/>
      <c r="K15" s="160"/>
      <c r="L15" s="160"/>
    </row>
    <row r="16" spans="1:12" ht="12.75">
      <c r="A16" s="23" t="s">
        <v>6</v>
      </c>
      <c r="B16" s="98">
        <f t="shared" si="1"/>
        <v>69196189.47</v>
      </c>
      <c r="C16" s="157">
        <f>'table 2a'!C17+table4!C17+table5!C17</f>
        <v>14596009.64</v>
      </c>
      <c r="D16" s="30">
        <f>'table 2a'!D17+table4!D17+table5!D17+'table 6'!C18+'table 6'!D18+'table 6'!F18</f>
        <v>2753015.43</v>
      </c>
      <c r="E16" s="157">
        <f>'table 2a'!E17+table4!E17+table5!E17+'table 6'!G18</f>
        <v>46336711.54</v>
      </c>
      <c r="F16" s="30">
        <f>'table 2a'!F17+table4!F17+table5!F17+'table 6'!I18</f>
        <v>5495370.21</v>
      </c>
      <c r="G16" s="53">
        <f>table4!G17+table5!G17+'table 6'!K18</f>
        <v>15082.65</v>
      </c>
      <c r="H16" s="98"/>
      <c r="I16" s="160">
        <f>IF(B16&lt;&gt;0,((+C16+D16)/B16*100),(IF(C16&lt;&gt;0,1,0)))</f>
        <v>25.072226090602385</v>
      </c>
      <c r="J16" s="160">
        <f aca="true" t="shared" si="3" ref="J16:L20">IF($B16&lt;&gt;0,(E16/$B16*100),(IF(E16&lt;&gt;0,1,0)))</f>
        <v>66.96425322681861</v>
      </c>
      <c r="K16" s="160">
        <f t="shared" si="3"/>
        <v>7.941723745326349</v>
      </c>
      <c r="L16" s="160">
        <f t="shared" si="3"/>
        <v>0.021796937252648977</v>
      </c>
    </row>
    <row r="17" spans="1:12" ht="12.75">
      <c r="A17" s="23" t="s">
        <v>7</v>
      </c>
      <c r="B17" s="98">
        <f t="shared" si="1"/>
        <v>401295567.91</v>
      </c>
      <c r="C17" s="157">
        <f>'table 2a'!C18+table4!C18+table5!C18</f>
        <v>217983058.69</v>
      </c>
      <c r="D17" s="30">
        <f>'table 2a'!D18+table4!D18+table5!D18+'table 6'!C19+'table 6'!D19+'table 6'!F19</f>
        <v>6185888.890000001</v>
      </c>
      <c r="E17" s="157">
        <f>'table 2a'!E18+table4!E18+table5!E18+'table 6'!G19</f>
        <v>164389037.39000002</v>
      </c>
      <c r="F17" s="30">
        <f>'table 2a'!F18+table4!F18+table5!F18+'table 6'!I19</f>
        <v>12704829.84</v>
      </c>
      <c r="G17" s="53">
        <f>table4!G18+table5!G18+'table 6'!K19</f>
        <v>32753.1</v>
      </c>
      <c r="H17" s="98"/>
      <c r="I17" s="160">
        <f>IF(B17&lt;&gt;0,((+C17+D17)/B17*100),(IF(C17&lt;&gt;0,1,0)))</f>
        <v>55.861306604381724</v>
      </c>
      <c r="J17" s="160">
        <f t="shared" si="3"/>
        <v>40.96457836456049</v>
      </c>
      <c r="K17" s="160">
        <f t="shared" si="3"/>
        <v>3.1659531916009986</v>
      </c>
      <c r="L17" s="160">
        <f t="shared" si="3"/>
        <v>0.00816183945678305</v>
      </c>
    </row>
    <row r="18" spans="1:12" ht="12.75">
      <c r="A18" s="23" t="s">
        <v>8</v>
      </c>
      <c r="B18" s="98">
        <f t="shared" si="1"/>
        <v>213481838.89999998</v>
      </c>
      <c r="C18" s="157">
        <f>'table 2a'!C19+table4!C19+table5!C19</f>
        <v>79342554.98</v>
      </c>
      <c r="D18" s="30">
        <f>'table 2a'!D19+table4!D19+table5!D19+'table 6'!C20+'table 6'!D20+'table 6'!F20</f>
        <v>13381526.850000001</v>
      </c>
      <c r="E18" s="157">
        <f>'table 2a'!E19+table4!E19+table5!E19+'table 6'!G20</f>
        <v>110472714.80999999</v>
      </c>
      <c r="F18" s="30">
        <f>'table 2a'!F19+table4!F19+table5!F19+'table 6'!I20</f>
        <v>10285042.26</v>
      </c>
      <c r="G18" s="53">
        <f>table4!G19+table5!G19+'table 6'!K20</f>
        <v>0</v>
      </c>
      <c r="H18" s="98"/>
      <c r="I18" s="160">
        <f>IF(B18&lt;&gt;0,((+C18+D18)/B18*100),(IF(C18&lt;&gt;0,1,0)))</f>
        <v>43.43417796463436</v>
      </c>
      <c r="J18" s="160">
        <f t="shared" si="3"/>
        <v>51.74806221420458</v>
      </c>
      <c r="K18" s="160">
        <f t="shared" si="3"/>
        <v>4.817759821161069</v>
      </c>
      <c r="L18" s="160">
        <f t="shared" si="3"/>
        <v>0</v>
      </c>
    </row>
    <row r="19" spans="1:12" ht="12.75">
      <c r="A19" s="23" t="s">
        <v>9</v>
      </c>
      <c r="B19" s="98">
        <f t="shared" si="1"/>
        <v>362593903.64000005</v>
      </c>
      <c r="C19" s="157">
        <f>'table 2a'!C20+table4!C20+table5!C20</f>
        <v>167043451.17000002</v>
      </c>
      <c r="D19" s="30">
        <f>'table 2a'!D20+table4!D20+table5!D20+'table 6'!C21+'table 6'!D21+'table 6'!F21</f>
        <v>9879298.94</v>
      </c>
      <c r="E19" s="157">
        <f>'table 2a'!E20+table4!E20+table5!E20+'table 6'!G21</f>
        <v>170584199.8</v>
      </c>
      <c r="F19" s="30">
        <f>'table 2a'!F20+table4!F20+table5!F20+'table 6'!I21</f>
        <v>15086953.73</v>
      </c>
      <c r="G19" s="53">
        <f>table4!G20+table5!G20+'table 6'!K21</f>
        <v>0</v>
      </c>
      <c r="H19" s="98"/>
      <c r="I19" s="160">
        <f>IF(B19&lt;&gt;0,((+C19+D19)/B19*100),(IF(C19&lt;&gt;0,1,0)))</f>
        <v>48.79363616815166</v>
      </c>
      <c r="J19" s="160">
        <f t="shared" si="3"/>
        <v>47.045523404432046</v>
      </c>
      <c r="K19" s="160">
        <f t="shared" si="3"/>
        <v>4.160840427416293</v>
      </c>
      <c r="L19" s="160">
        <f t="shared" si="3"/>
        <v>0</v>
      </c>
    </row>
    <row r="20" spans="1:12" ht="12.75">
      <c r="A20" s="23" t="s">
        <v>10</v>
      </c>
      <c r="B20" s="98">
        <f t="shared" si="1"/>
        <v>68833276.28</v>
      </c>
      <c r="C20" s="157">
        <f>'table 2a'!C21+table4!C21+table5!C21</f>
        <v>20855781.17</v>
      </c>
      <c r="D20" s="30">
        <f>'table 2a'!D21+table4!D21+table5!D21+'table 6'!C22+'table 6'!D22+'table 6'!F22</f>
        <v>1754938.29</v>
      </c>
      <c r="E20" s="157">
        <f>'table 2a'!E21+table4!E21+table5!E21+'table 6'!G22</f>
        <v>39717698.269999996</v>
      </c>
      <c r="F20" s="30">
        <f>'table 2a'!F21+table4!F21+table5!F21+'table 6'!I22</f>
        <v>6504858.549999999</v>
      </c>
      <c r="G20" s="53">
        <f>table4!G21+table5!G21+'table 6'!K22</f>
        <v>0</v>
      </c>
      <c r="H20" s="98"/>
      <c r="I20" s="160">
        <f>IF(B20&lt;&gt;0,((+C20+D20)/B20*100),(IF(C20&lt;&gt;0,1,0)))</f>
        <v>32.84853007435549</v>
      </c>
      <c r="J20" s="160">
        <f t="shared" si="3"/>
        <v>57.701304393003674</v>
      </c>
      <c r="K20" s="160">
        <f t="shared" si="3"/>
        <v>9.450165532640833</v>
      </c>
      <c r="L20" s="160">
        <f t="shared" si="3"/>
        <v>0</v>
      </c>
    </row>
    <row r="21" spans="1:12" ht="12.75">
      <c r="A21" s="23"/>
      <c r="B21" s="98"/>
      <c r="C21" s="30"/>
      <c r="D21" s="30"/>
      <c r="E21" s="53"/>
      <c r="F21" s="30"/>
      <c r="G21" s="30"/>
      <c r="H21" s="98"/>
      <c r="I21" s="160"/>
      <c r="J21" s="160"/>
      <c r="K21" s="160"/>
      <c r="L21" s="160"/>
    </row>
    <row r="22" spans="1:12" ht="12.75">
      <c r="A22" s="23" t="s">
        <v>11</v>
      </c>
      <c r="B22" s="98">
        <f t="shared" si="1"/>
        <v>580165130.8</v>
      </c>
      <c r="C22" s="157">
        <f>'table 2a'!C23+table4!C23+table5!C23</f>
        <v>289289957.23</v>
      </c>
      <c r="D22" s="30">
        <f>'table 2a'!D23+table4!D23+table5!D23+'table 6'!C24+'table 6'!D24+'table 6'!F24</f>
        <v>12457459.75</v>
      </c>
      <c r="E22" s="157">
        <f>'table 2a'!E23+table4!E23+table5!E23+'table 6'!G24</f>
        <v>239547945.67</v>
      </c>
      <c r="F22" s="30">
        <f>'table 2a'!F23+table4!F23+table5!F23+'table 6'!I24</f>
        <v>18158762.15</v>
      </c>
      <c r="G22" s="53">
        <f>table4!G23+table5!G23+'table 6'!K24</f>
        <v>20711006</v>
      </c>
      <c r="H22" s="98"/>
      <c r="I22" s="160">
        <f>IF(B22&lt;&gt;0,((+C22+D22)/B22*100),(IF(C22&lt;&gt;0,1,0)))</f>
        <v>52.01060886991178</v>
      </c>
      <c r="J22" s="160">
        <f aca="true" t="shared" si="4" ref="J22:L26">IF($B22&lt;&gt;0,(E22/$B22*100),(IF(E22&lt;&gt;0,1,0)))</f>
        <v>41.2896144481629</v>
      </c>
      <c r="K22" s="160">
        <f t="shared" si="4"/>
        <v>3.1299299433870766</v>
      </c>
      <c r="L22" s="160">
        <f t="shared" si="4"/>
        <v>3.569846738538255</v>
      </c>
    </row>
    <row r="23" spans="1:12" ht="12.75">
      <c r="A23" s="23" t="s">
        <v>12</v>
      </c>
      <c r="B23" s="98">
        <f t="shared" si="1"/>
        <v>59391908.480000004</v>
      </c>
      <c r="C23" s="157">
        <f>'table 2a'!C24+table4!C24+table5!C24</f>
        <v>23882696.21</v>
      </c>
      <c r="D23" s="30">
        <f>'table 2a'!D24+table4!D24+table5!D24+'table 6'!C25+'table 6'!D25+'table 6'!F25</f>
        <v>1790696.3199999998</v>
      </c>
      <c r="E23" s="157">
        <f>'table 2a'!E24+table4!E24+table5!E24+'table 6'!G25</f>
        <v>28628543.45</v>
      </c>
      <c r="F23" s="30">
        <f>'table 2a'!F24+table4!F24+table5!F24+'table 6'!I25</f>
        <v>5089912.5</v>
      </c>
      <c r="G23" s="53">
        <f>table4!G24+table5!G24+'table 6'!K25</f>
        <v>60</v>
      </c>
      <c r="H23" s="98"/>
      <c r="I23" s="160">
        <f>IF(B23&lt;&gt;0,((+C23+D23)/B23*100),(IF(C23&lt;&gt;0,1,0)))</f>
        <v>43.2270879772207</v>
      </c>
      <c r="J23" s="160">
        <f t="shared" si="4"/>
        <v>48.202767317437775</v>
      </c>
      <c r="K23" s="160">
        <f t="shared" si="4"/>
        <v>8.570043681478948</v>
      </c>
      <c r="L23" s="160">
        <f t="shared" si="4"/>
        <v>0.00010102386256909857</v>
      </c>
    </row>
    <row r="24" spans="1:12" ht="12.75">
      <c r="A24" s="23" t="s">
        <v>13</v>
      </c>
      <c r="B24" s="98">
        <f t="shared" si="1"/>
        <v>578289395.3100001</v>
      </c>
      <c r="C24" s="157">
        <f>'table 2a'!C25+table4!C25+table5!C25</f>
        <v>289930741</v>
      </c>
      <c r="D24" s="30">
        <f>'table 2a'!D25+table4!D25+table5!D25+'table 6'!C26+'table 6'!D26+'table 6'!F26</f>
        <v>13001347.42</v>
      </c>
      <c r="E24" s="157">
        <f>'table 2a'!E25+table4!E25+table5!E25+'table 6'!G26</f>
        <v>252823616.2</v>
      </c>
      <c r="F24" s="30">
        <f>'table 2a'!F25+table4!F25+table5!F25+'table 6'!I26</f>
        <v>21943690.69</v>
      </c>
      <c r="G24" s="53">
        <f>table4!G25+table5!G25+'table 6'!K26</f>
        <v>590000</v>
      </c>
      <c r="H24" s="98"/>
      <c r="I24" s="160">
        <f>IF(B24&lt;&gt;0,((+C24+D24)/B24*100),(IF(C24&lt;&gt;0,1,0)))</f>
        <v>52.38416800944604</v>
      </c>
      <c r="J24" s="160">
        <f t="shared" si="4"/>
        <v>43.71922055815504</v>
      </c>
      <c r="K24" s="160">
        <f t="shared" si="4"/>
        <v>3.7945863901302874</v>
      </c>
      <c r="L24" s="160">
        <f t="shared" si="4"/>
        <v>0.1020250422686244</v>
      </c>
    </row>
    <row r="25" spans="1:12" ht="12.75">
      <c r="A25" s="23" t="s">
        <v>14</v>
      </c>
      <c r="B25" s="98">
        <f t="shared" si="1"/>
        <v>789305976.91</v>
      </c>
      <c r="C25" s="157">
        <f>'table 2a'!C26+table4!C26+table5!C26</f>
        <v>517333366</v>
      </c>
      <c r="D25" s="30">
        <f>'table 2a'!D26+table4!D26+table5!D26+'table 6'!C27+'table 6'!D27+'table 6'!F27</f>
        <v>15995984</v>
      </c>
      <c r="E25" s="157">
        <f>'table 2a'!E26+table4!E26+table5!E26+'table 6'!G27</f>
        <v>234495115.74</v>
      </c>
      <c r="F25" s="30">
        <f>'table 2a'!F26+table4!F26+table5!F26+'table 6'!I27</f>
        <v>20728736.17</v>
      </c>
      <c r="G25" s="53">
        <f>table4!G26+table5!G26+'table 6'!K27</f>
        <v>752775</v>
      </c>
      <c r="H25" s="98"/>
      <c r="I25" s="160">
        <f>IF(B25&lt;&gt;0,((+C25+D25)/B25*100),(IF(C25&lt;&gt;0,1,0)))</f>
        <v>67.56940471778697</v>
      </c>
      <c r="J25" s="160">
        <f t="shared" si="4"/>
        <v>29.709025726374062</v>
      </c>
      <c r="K25" s="160">
        <f t="shared" si="4"/>
        <v>2.626197796087838</v>
      </c>
      <c r="L25" s="160">
        <f t="shared" si="4"/>
        <v>0.09537175975114079</v>
      </c>
    </row>
    <row r="26" spans="1:12" ht="12.75">
      <c r="A26" s="23" t="s">
        <v>15</v>
      </c>
      <c r="B26" s="98">
        <f t="shared" si="1"/>
        <v>34630540.01</v>
      </c>
      <c r="C26" s="157">
        <f>'table 2a'!C27+table4!C27+table5!C27</f>
        <v>17954688</v>
      </c>
      <c r="D26" s="30">
        <f>'table 2a'!D27+table4!D27+table5!D27+'table 6'!C28+'table 6'!D28+'table 6'!F28</f>
        <v>767525</v>
      </c>
      <c r="E26" s="157">
        <f>'table 2a'!E27+table4!E27+table5!E27+'table 6'!G28</f>
        <v>13010272.84</v>
      </c>
      <c r="F26" s="30">
        <f>'table 2a'!F27+table4!F27+table5!F27+'table 6'!I28</f>
        <v>2898054.17</v>
      </c>
      <c r="G26" s="53">
        <f>table4!G27+table5!G27+'table 6'!K28</f>
        <v>0</v>
      </c>
      <c r="H26" s="98"/>
      <c r="I26" s="160">
        <f>IF(B26&lt;&gt;0,((+C26+D26)/B26*100),(IF(C26&lt;&gt;0,1,0)))</f>
        <v>54.06272323386736</v>
      </c>
      <c r="J26" s="160">
        <f t="shared" si="4"/>
        <v>37.56878418945567</v>
      </c>
      <c r="K26" s="160">
        <f t="shared" si="4"/>
        <v>8.368492576676976</v>
      </c>
      <c r="L26" s="160">
        <f t="shared" si="4"/>
        <v>0</v>
      </c>
    </row>
    <row r="27" spans="1:12" ht="12.75">
      <c r="A27" s="23"/>
      <c r="B27" s="98"/>
      <c r="C27" s="30"/>
      <c r="D27" s="30"/>
      <c r="E27" s="53"/>
      <c r="F27" s="30"/>
      <c r="G27" s="30"/>
      <c r="H27" s="98"/>
      <c r="I27" s="160"/>
      <c r="J27" s="160"/>
      <c r="K27" s="160"/>
      <c r="L27" s="160"/>
    </row>
    <row r="28" spans="1:12" ht="12.75">
      <c r="A28" s="23" t="s">
        <v>16</v>
      </c>
      <c r="B28" s="98">
        <f t="shared" si="1"/>
        <v>2571633572.4</v>
      </c>
      <c r="C28" s="157">
        <f>'table 2a'!C29+table4!C29+table5!C29</f>
        <v>1870047835</v>
      </c>
      <c r="D28" s="30">
        <f>'table 2a'!D29+table4!D29+table5!D29+'table 6'!C30+'table 6'!D30+'table 6'!F30</f>
        <v>39965017.519999996</v>
      </c>
      <c r="E28" s="157">
        <f>'table 2a'!E29+table4!E29+table5!E29+'table 6'!G30</f>
        <v>564939066.6700001</v>
      </c>
      <c r="F28" s="30">
        <f>'table 2a'!F29+table4!F29+table5!F29+'table 6'!I30</f>
        <v>96273253.21000001</v>
      </c>
      <c r="G28" s="53">
        <f>table4!G29+table5!G29+'table 6'!K30</f>
        <v>408400</v>
      </c>
      <c r="H28" s="98"/>
      <c r="I28" s="160">
        <f>IF(B28&lt;&gt;0,((+C28+D28)/B28*100),(IF(C28&lt;&gt;0,1,0)))</f>
        <v>74.27235641263866</v>
      </c>
      <c r="J28" s="160">
        <f aca="true" t="shared" si="5" ref="J28:L32">IF($B28&lt;&gt;0,(E28/$B28*100),(IF(E28&lt;&gt;0,1,0)))</f>
        <v>21.968101238574423</v>
      </c>
      <c r="K28" s="160">
        <f t="shared" si="5"/>
        <v>3.743661392635815</v>
      </c>
      <c r="L28" s="160">
        <f t="shared" si="5"/>
        <v>0.015880956151107368</v>
      </c>
    </row>
    <row r="29" spans="1:12" ht="12.75">
      <c r="A29" s="23" t="s">
        <v>17</v>
      </c>
      <c r="B29" s="98">
        <f aca="true" t="shared" si="6" ref="B29:B37">SUM(C29:G29)</f>
        <v>1913824566.28</v>
      </c>
      <c r="C29" s="157">
        <f>'table 2a'!C30+table4!C30+table5!C30</f>
        <v>695453687.18</v>
      </c>
      <c r="D29" s="30">
        <f>'table 2a'!D30+table4!D30+table5!D30+'table 6'!C31+'table 6'!D31+'table 6'!F31</f>
        <v>58272812.25</v>
      </c>
      <c r="E29" s="157">
        <f>'table 2a'!E30+table4!E30+table5!E30+'table 6'!G31</f>
        <v>1039574165.87</v>
      </c>
      <c r="F29" s="30">
        <f>'table 2a'!F30+table4!F30+table5!F30+'table 6'!I31</f>
        <v>120523900.97999997</v>
      </c>
      <c r="G29" s="53">
        <f>table4!G30+table5!G30+'table 6'!K31</f>
        <v>0</v>
      </c>
      <c r="H29" s="98"/>
      <c r="I29" s="160">
        <f>IF(B29&lt;&gt;0,((+C29+D29)/B29*100),(IF(C29&lt;&gt;0,1,0)))</f>
        <v>39.383259715129334</v>
      </c>
      <c r="J29" s="160">
        <f t="shared" si="5"/>
        <v>54.31919854026507</v>
      </c>
      <c r="K29" s="160">
        <f t="shared" si="5"/>
        <v>6.297541744605595</v>
      </c>
      <c r="L29" s="160">
        <f t="shared" si="5"/>
        <v>0</v>
      </c>
    </row>
    <row r="30" spans="1:12" ht="12.75">
      <c r="A30" s="23" t="s">
        <v>18</v>
      </c>
      <c r="B30" s="98">
        <f t="shared" si="6"/>
        <v>107782659.28999999</v>
      </c>
      <c r="C30" s="157">
        <f>'table 2a'!C31+table4!C31+table5!C31</f>
        <v>62276927.32</v>
      </c>
      <c r="D30" s="30">
        <f>'table 2a'!D31+table4!D31+table5!D31+'table 6'!C32+'table 6'!D32+'table 6'!F32</f>
        <v>2216303.9299999997</v>
      </c>
      <c r="E30" s="157">
        <f>'table 2a'!E31+table4!E31+table5!E31+'table 6'!G32</f>
        <v>38533884.57</v>
      </c>
      <c r="F30" s="30">
        <f>'table 2a'!F31+table4!F31+table5!F31+'table 6'!I32</f>
        <v>4755543.47</v>
      </c>
      <c r="G30" s="53">
        <f>table4!G31+table5!G31+'table 6'!K32</f>
        <v>0</v>
      </c>
      <c r="H30" s="98"/>
      <c r="I30" s="160">
        <f>IF(B30&lt;&gt;0,((+C30+D30)/B30*100),(IF(C30&lt;&gt;0,1,0)))</f>
        <v>59.83637040952434</v>
      </c>
      <c r="J30" s="160">
        <f t="shared" si="5"/>
        <v>35.75146950709459</v>
      </c>
      <c r="K30" s="160">
        <f t="shared" si="5"/>
        <v>4.412160083381071</v>
      </c>
      <c r="L30" s="160">
        <f t="shared" si="5"/>
        <v>0</v>
      </c>
    </row>
    <row r="31" spans="1:12" ht="12.75">
      <c r="A31" s="23" t="s">
        <v>19</v>
      </c>
      <c r="B31" s="98">
        <f t="shared" si="6"/>
        <v>216408821.42999995</v>
      </c>
      <c r="C31" s="157">
        <f>'table 2a'!C32+table4!C32+table5!C32</f>
        <v>90969358.72</v>
      </c>
      <c r="D31" s="30">
        <f>'table 2a'!D32+table4!D32+table5!D32+'table 6'!C33+'table 6'!D33+'table 6'!F33</f>
        <v>5102752.380000001</v>
      </c>
      <c r="E31" s="157">
        <f>'table 2a'!E32+table4!E32+table5!E32+'table 6'!G33</f>
        <v>107350640.45999998</v>
      </c>
      <c r="F31" s="30">
        <f>'table 2a'!F32+table4!F32+table5!F32+'table 6'!I33</f>
        <v>12985504.479999999</v>
      </c>
      <c r="G31" s="53">
        <f>table4!G32+table5!G32+'table 6'!K33</f>
        <v>565.39</v>
      </c>
      <c r="H31" s="98"/>
      <c r="I31" s="160">
        <f>IF(B31&lt;&gt;0,((+C31+D31)/B31*100),(IF(C31&lt;&gt;0,1,0)))</f>
        <v>44.39380542122479</v>
      </c>
      <c r="J31" s="160">
        <f t="shared" si="5"/>
        <v>49.60548269273018</v>
      </c>
      <c r="K31" s="160">
        <f t="shared" si="5"/>
        <v>6.000450625900348</v>
      </c>
      <c r="L31" s="160">
        <f t="shared" si="5"/>
        <v>0.00026126014469464784</v>
      </c>
    </row>
    <row r="32" spans="1:12" ht="12.75">
      <c r="A32" s="23" t="s">
        <v>20</v>
      </c>
      <c r="B32" s="98">
        <f t="shared" si="6"/>
        <v>48033557.2</v>
      </c>
      <c r="C32" s="157">
        <f>'table 2a'!C33+table4!C33+table5!C33</f>
        <v>12345268.34</v>
      </c>
      <c r="D32" s="30">
        <f>'table 2a'!D33+table4!D33+table5!D33+'table 6'!C34+'table 6'!D34+'table 6'!F34</f>
        <v>771616.7</v>
      </c>
      <c r="E32" s="157">
        <f>'table 2a'!E33+table4!E33+table5!E33+'table 6'!G34</f>
        <v>28931612.820000004</v>
      </c>
      <c r="F32" s="30">
        <f>'table 2a'!F33+table4!F33+table5!F33+'table 6'!I34</f>
        <v>5985059.34</v>
      </c>
      <c r="G32" s="53">
        <f>table4!G33+table5!G33+'table 6'!K34</f>
        <v>0</v>
      </c>
      <c r="H32" s="98"/>
      <c r="I32" s="160">
        <f>IF(B32&lt;&gt;0,((+C32+D32)/B32*100),(IF(C32&lt;&gt;0,1,0)))</f>
        <v>27.307752755817134</v>
      </c>
      <c r="J32" s="160">
        <f t="shared" si="5"/>
        <v>60.232084622706225</v>
      </c>
      <c r="K32" s="160">
        <f t="shared" si="5"/>
        <v>12.460162621476636</v>
      </c>
      <c r="L32" s="160">
        <f t="shared" si="5"/>
        <v>0</v>
      </c>
    </row>
    <row r="33" spans="1:12" ht="12.75" customHeight="1">
      <c r="A33" s="23"/>
      <c r="B33" s="98"/>
      <c r="C33" s="30"/>
      <c r="D33" s="30"/>
      <c r="E33" s="53"/>
      <c r="F33" s="30"/>
      <c r="G33" s="30"/>
      <c r="H33" s="98"/>
      <c r="I33" s="23"/>
      <c r="J33" s="23"/>
      <c r="K33" s="23"/>
      <c r="L33" s="23"/>
    </row>
    <row r="34" spans="1:12" ht="12.75">
      <c r="A34" s="23" t="s">
        <v>21</v>
      </c>
      <c r="B34" s="98">
        <f t="shared" si="6"/>
        <v>64048579.72</v>
      </c>
      <c r="C34" s="157">
        <f>'table 2a'!C35+table4!C35+table5!C35</f>
        <v>44231920.03</v>
      </c>
      <c r="D34" s="30">
        <f>'table 2a'!D35+table4!D35+table5!D35+'table 6'!C36+'table 6'!D36+'table 6'!F36</f>
        <v>1341962.9100000001</v>
      </c>
      <c r="E34" s="157">
        <f>'table 2a'!E35+table4!E35+table5!E35+'table 6'!G36</f>
        <v>15158800.57</v>
      </c>
      <c r="F34" s="30">
        <f>'table 2a'!F35+table4!F35+table5!F35+'table 6'!I36</f>
        <v>3315896.21</v>
      </c>
      <c r="G34" s="53">
        <f>table4!G35+table5!G35+'table 6'!K36</f>
        <v>0</v>
      </c>
      <c r="H34" s="98"/>
      <c r="I34" s="160">
        <f>IF(B34&lt;&gt;0,((+C34+D34)/B34*100),(IF(C34&lt;&gt;0,1,0)))</f>
        <v>71.155181175343</v>
      </c>
      <c r="J34" s="160">
        <f aca="true" t="shared" si="7" ref="J34:L37">IF($B34&lt;&gt;0,(E34/$B34*100),(IF(E34&lt;&gt;0,1,0)))</f>
        <v>23.667660760425058</v>
      </c>
      <c r="K34" s="160">
        <f t="shared" si="7"/>
        <v>5.177158064231936</v>
      </c>
      <c r="L34" s="160">
        <f t="shared" si="7"/>
        <v>0</v>
      </c>
    </row>
    <row r="35" spans="1:12" ht="12.75">
      <c r="A35" s="23" t="s">
        <v>22</v>
      </c>
      <c r="B35" s="98">
        <f t="shared" si="6"/>
        <v>304888689.95000005</v>
      </c>
      <c r="C35" s="157">
        <f>'table 2a'!C36+table4!C36+table5!C36</f>
        <v>118950288.08</v>
      </c>
      <c r="D35" s="30">
        <f>'table 2a'!D36+table4!D36+table5!D36+'table 6'!C37+'table 6'!D37+'table 6'!F37</f>
        <v>6071083.47</v>
      </c>
      <c r="E35" s="157">
        <f>'table 2a'!E36+table4!E36+table5!E36+'table 6'!G37</f>
        <v>162532907.74</v>
      </c>
      <c r="F35" s="30">
        <f>'table 2a'!F36+table4!F36+table5!F36+'table 6'!I37</f>
        <v>17334410.66</v>
      </c>
      <c r="G35" s="53">
        <f>table4!G36+table5!G36+'table 6'!K37</f>
        <v>0</v>
      </c>
      <c r="H35" s="98"/>
      <c r="I35" s="160">
        <f>IF(B35&lt;&gt;0,((+C35+D35)/B35*100),(IF(C35&lt;&gt;0,1,0)))</f>
        <v>41.0055786492122</v>
      </c>
      <c r="J35" s="160">
        <f t="shared" si="7"/>
        <v>53.308933095109055</v>
      </c>
      <c r="K35" s="160">
        <f t="shared" si="7"/>
        <v>5.685488255678734</v>
      </c>
      <c r="L35" s="160">
        <f t="shared" si="7"/>
        <v>0</v>
      </c>
    </row>
    <row r="36" spans="1:12" ht="12.75">
      <c r="A36" s="23" t="s">
        <v>23</v>
      </c>
      <c r="B36" s="98">
        <f t="shared" si="6"/>
        <v>190072857.63000003</v>
      </c>
      <c r="C36" s="157">
        <f>'table 2a'!C37+table4!C37+table5!C37</f>
        <v>49443053</v>
      </c>
      <c r="D36" s="30">
        <f>'table 2a'!D37+table4!D37+table5!D37+'table 6'!C38+'table 6'!D38+'table 6'!F38</f>
        <v>11651516.139999999</v>
      </c>
      <c r="E36" s="157">
        <f>'table 2a'!E37+table4!E37+table5!E37+'table 6'!G38</f>
        <v>114140602.50000001</v>
      </c>
      <c r="F36" s="30">
        <f>'table 2a'!F37+table4!F37+table5!F37+'table 6'!I38</f>
        <v>14443599.22</v>
      </c>
      <c r="G36" s="53">
        <f>table4!G37+table5!G37+'table 6'!K38</f>
        <v>394086.77</v>
      </c>
      <c r="H36" s="98"/>
      <c r="I36" s="160">
        <f>IF(B36&lt;&gt;0,((+C36+D36)/B36*100),(IF(C36&lt;&gt;0,1,0)))</f>
        <v>32.14271090663982</v>
      </c>
      <c r="J36" s="160">
        <f t="shared" si="7"/>
        <v>60.05097409656912</v>
      </c>
      <c r="K36" s="160">
        <f t="shared" si="7"/>
        <v>7.598980412088204</v>
      </c>
      <c r="L36" s="160">
        <f t="shared" si="7"/>
        <v>0.20733458470285007</v>
      </c>
    </row>
    <row r="37" spans="1:12" ht="12.75">
      <c r="A37" s="31" t="s">
        <v>24</v>
      </c>
      <c r="B37" s="161">
        <f t="shared" si="6"/>
        <v>127587360.67</v>
      </c>
      <c r="C37" s="162">
        <f>'table 2a'!C38+table4!C38+table5!C38</f>
        <v>87990931.84</v>
      </c>
      <c r="D37" s="28">
        <f>'table 2a'!D38+table4!D38+table5!D38+'table 6'!C39+'table 6'!D39+'table 6'!F39</f>
        <v>1959463.9899999998</v>
      </c>
      <c r="E37" s="162">
        <f>'table 2a'!E38+table4!E38+table5!E38+'table 6'!G39</f>
        <v>29723904.89</v>
      </c>
      <c r="F37" s="28">
        <f>'table 2a'!F38+table4!F38+table5!F38+'table 6'!I39</f>
        <v>7913059.949999999</v>
      </c>
      <c r="G37" s="163">
        <f>table4!G38+table5!G38+'table 6'!K39</f>
        <v>0</v>
      </c>
      <c r="H37" s="161"/>
      <c r="I37" s="164">
        <f>IF(B37&lt;&gt;0,((+C37+D37)/B37*100),(IF(C37&lt;&gt;0,1,0)))</f>
        <v>70.50102404943807</v>
      </c>
      <c r="J37" s="164">
        <f t="shared" si="7"/>
        <v>23.296903967533105</v>
      </c>
      <c r="K37" s="164">
        <f t="shared" si="7"/>
        <v>6.2020719830288185</v>
      </c>
      <c r="L37" s="164">
        <f t="shared" si="7"/>
        <v>0</v>
      </c>
    </row>
    <row r="38" spans="2:13" ht="12.75">
      <c r="B38" s="105"/>
      <c r="C38" s="205"/>
      <c r="D38" s="105"/>
      <c r="E38" s="105"/>
      <c r="F38" s="105"/>
      <c r="G38" s="105"/>
      <c r="H38" s="105"/>
      <c r="I38" s="206"/>
      <c r="J38" s="206"/>
      <c r="K38" s="206"/>
      <c r="L38" s="206"/>
      <c r="M38" s="105"/>
    </row>
    <row r="39" spans="1:13" ht="12.75">
      <c r="A39" s="204" t="s">
        <v>237</v>
      </c>
      <c r="B39" s="105"/>
      <c r="C39" s="105"/>
      <c r="D39" s="105"/>
      <c r="E39" s="105"/>
      <c r="F39" s="105"/>
      <c r="G39" s="105"/>
      <c r="H39" s="105"/>
      <c r="I39" s="206"/>
      <c r="J39" s="206"/>
      <c r="K39" s="206"/>
      <c r="L39" s="206"/>
      <c r="M39" s="105"/>
    </row>
    <row r="40" spans="1:13" ht="12.75">
      <c r="A40" s="207" t="s">
        <v>266</v>
      </c>
      <c r="B40" s="105"/>
      <c r="C40" s="105"/>
      <c r="D40" s="105"/>
      <c r="E40" s="105"/>
      <c r="F40" s="105"/>
      <c r="G40" s="105"/>
      <c r="H40" s="105"/>
      <c r="I40" s="206"/>
      <c r="J40" s="206"/>
      <c r="K40" s="206"/>
      <c r="L40" s="206"/>
      <c r="M40" s="105"/>
    </row>
    <row r="41" spans="1:12" ht="12.75">
      <c r="A41" s="145"/>
      <c r="I41" s="165"/>
      <c r="J41" s="165"/>
      <c r="K41" s="165"/>
      <c r="L41" s="165"/>
    </row>
    <row r="42" spans="9:12" ht="12.75">
      <c r="I42" s="117"/>
      <c r="J42" s="117"/>
      <c r="K42" s="117"/>
      <c r="L42" s="117"/>
    </row>
    <row r="43" spans="9:12" ht="12.75">
      <c r="I43" s="117"/>
      <c r="J43" s="117"/>
      <c r="K43" s="117"/>
      <c r="L43" s="117"/>
    </row>
  </sheetData>
  <sheetProtection password="CAF5" sheet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91" r:id="rId1"/>
  <headerFooter alignWithMargins="0">
    <oddFooter>&amp;L&amp;"Arial,Italic"&amp;9MSDE-DBS  10 / 2009&amp;C- 1 -&amp;R&amp;"Arial,Italic"&amp;9Selected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view="pageLayout" workbookViewId="0" topLeftCell="A1">
      <selection activeCell="I7" sqref="I7"/>
    </sheetView>
  </sheetViews>
  <sheetFormatPr defaultColWidth="9.140625" defaultRowHeight="12.75"/>
  <cols>
    <col min="1" max="1" width="13.8515625" style="0" customWidth="1"/>
    <col min="2" max="2" width="11.28125" style="283" customWidth="1"/>
    <col min="3" max="3" width="11.57421875" style="283" customWidth="1"/>
    <col min="4" max="4" width="14.421875" style="283" customWidth="1"/>
    <col min="5" max="5" width="15.00390625" style="283" bestFit="1" customWidth="1"/>
    <col min="6" max="6" width="14.8515625" style="283" customWidth="1"/>
    <col min="7" max="7" width="15.57421875" style="283" customWidth="1"/>
    <col min="8" max="8" width="17.421875" style="0" customWidth="1"/>
    <col min="9" max="9" width="12.140625" style="0" customWidth="1"/>
  </cols>
  <sheetData>
    <row r="1" spans="1:8" ht="12.75">
      <c r="A1" s="380" t="s">
        <v>125</v>
      </c>
      <c r="B1" s="380"/>
      <c r="C1" s="380"/>
      <c r="D1" s="380"/>
      <c r="E1" s="380"/>
      <c r="F1" s="380"/>
      <c r="G1" s="380"/>
      <c r="H1" s="380"/>
    </row>
    <row r="3" spans="1:8" ht="12.75">
      <c r="A3" s="380" t="s">
        <v>259</v>
      </c>
      <c r="B3" s="380"/>
      <c r="C3" s="380"/>
      <c r="D3" s="380"/>
      <c r="E3" s="380"/>
      <c r="F3" s="380"/>
      <c r="G3" s="380"/>
      <c r="H3" s="380"/>
    </row>
    <row r="4" spans="1:8" ht="13.5" thickBot="1">
      <c r="A4" s="105"/>
      <c r="B4" s="220"/>
      <c r="C4" s="220"/>
      <c r="D4" s="220"/>
      <c r="E4" s="220"/>
      <c r="F4" s="220"/>
      <c r="G4" s="220"/>
      <c r="H4" s="220"/>
    </row>
    <row r="5" spans="1:8" ht="15" customHeight="1" thickTop="1">
      <c r="A5" s="421" t="s">
        <v>49</v>
      </c>
      <c r="B5" s="421"/>
      <c r="C5" s="421"/>
      <c r="D5" s="421"/>
      <c r="E5" s="421"/>
      <c r="F5" s="421"/>
      <c r="G5" s="421"/>
      <c r="H5" s="422"/>
    </row>
    <row r="6" spans="1:29" ht="12.75">
      <c r="A6" s="430"/>
      <c r="B6" s="430"/>
      <c r="C6" s="430"/>
      <c r="D6" s="430"/>
      <c r="E6" s="430"/>
      <c r="F6" s="430"/>
      <c r="G6" s="430"/>
      <c r="H6" s="43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8" ht="12.75" customHeight="1">
      <c r="A7" s="414" t="s">
        <v>181</v>
      </c>
      <c r="B7" s="189"/>
      <c r="C7" s="221"/>
      <c r="D7" s="427" t="s">
        <v>176</v>
      </c>
      <c r="E7" s="426" t="s">
        <v>182</v>
      </c>
      <c r="F7" s="431" t="s">
        <v>184</v>
      </c>
      <c r="G7" s="426" t="s">
        <v>185</v>
      </c>
      <c r="H7" s="429" t="s">
        <v>163</v>
      </c>
    </row>
    <row r="8" spans="1:8" ht="12.75" customHeight="1">
      <c r="A8" s="414"/>
      <c r="B8" s="205" t="s">
        <v>136</v>
      </c>
      <c r="C8" s="173" t="s">
        <v>186</v>
      </c>
      <c r="D8" s="427"/>
      <c r="E8" s="415"/>
      <c r="F8" s="432"/>
      <c r="G8" s="415"/>
      <c r="H8" s="415"/>
    </row>
    <row r="9" spans="1:8" ht="12.75" customHeight="1">
      <c r="A9" s="414"/>
      <c r="B9" s="205" t="s">
        <v>138</v>
      </c>
      <c r="C9" s="280" t="s">
        <v>167</v>
      </c>
      <c r="D9" s="427"/>
      <c r="E9" s="415"/>
      <c r="F9" s="432"/>
      <c r="G9" s="415"/>
      <c r="H9" s="415"/>
    </row>
    <row r="10" spans="1:8" ht="13.5" thickBot="1">
      <c r="A10" s="416"/>
      <c r="B10" s="175" t="s">
        <v>35</v>
      </c>
      <c r="C10" s="175" t="s">
        <v>168</v>
      </c>
      <c r="D10" s="428"/>
      <c r="E10" s="416"/>
      <c r="F10" s="433"/>
      <c r="G10" s="416"/>
      <c r="H10" s="416"/>
    </row>
    <row r="11" spans="1:8" s="47" customFormat="1" ht="12.75">
      <c r="A11" s="51" t="s">
        <v>0</v>
      </c>
      <c r="B11" s="281">
        <f aca="true" t="shared" si="0" ref="B11:H11">SUM(B13:B40)</f>
        <v>1729107.2100000002</v>
      </c>
      <c r="C11" s="281">
        <f t="shared" si="0"/>
        <v>177733.25</v>
      </c>
      <c r="D11" s="185">
        <f t="shared" si="0"/>
        <v>126172042</v>
      </c>
      <c r="E11" s="281">
        <f t="shared" si="0"/>
        <v>8853604.87</v>
      </c>
      <c r="F11" s="281">
        <f t="shared" si="0"/>
        <v>5159001.72</v>
      </c>
      <c r="G11" s="281">
        <f t="shared" si="0"/>
        <v>4228925.82</v>
      </c>
      <c r="H11" s="281">
        <f t="shared" si="0"/>
        <v>15500031.139999999</v>
      </c>
    </row>
    <row r="12" spans="1:8" ht="12.75">
      <c r="A12" s="3"/>
      <c r="B12" s="186"/>
      <c r="C12" s="186"/>
      <c r="D12" s="60"/>
      <c r="E12" s="186"/>
      <c r="F12" s="186"/>
      <c r="G12" s="186"/>
      <c r="H12" s="105"/>
    </row>
    <row r="13" spans="1:9" ht="12.75">
      <c r="A13" t="s">
        <v>1</v>
      </c>
      <c r="B13" s="186">
        <v>69871.09</v>
      </c>
      <c r="C13" s="186">
        <v>0</v>
      </c>
      <c r="D13" s="186">
        <v>87438</v>
      </c>
      <c r="E13" s="186">
        <v>164424</v>
      </c>
      <c r="F13" s="186">
        <v>318657.17</v>
      </c>
      <c r="G13" s="186">
        <v>0</v>
      </c>
      <c r="H13" s="186">
        <v>238246.1</v>
      </c>
      <c r="I13" s="1"/>
    </row>
    <row r="14" spans="1:8" ht="12.75">
      <c r="A14" t="s">
        <v>2</v>
      </c>
      <c r="B14" s="186">
        <v>101531.04</v>
      </c>
      <c r="C14" s="186">
        <v>0</v>
      </c>
      <c r="D14" s="186">
        <v>3934381</v>
      </c>
      <c r="E14" s="186">
        <v>1020000</v>
      </c>
      <c r="F14" s="186">
        <v>68929.93</v>
      </c>
      <c r="G14" s="186">
        <v>28639.75</v>
      </c>
      <c r="H14" s="186">
        <v>149303.82</v>
      </c>
    </row>
    <row r="15" spans="1:8" ht="12.75">
      <c r="A15" t="s">
        <v>3</v>
      </c>
      <c r="B15" s="186">
        <v>111782.25</v>
      </c>
      <c r="C15" s="186">
        <v>0</v>
      </c>
      <c r="D15" s="188">
        <v>8486781</v>
      </c>
      <c r="E15" s="186">
        <v>1811000</v>
      </c>
      <c r="F15" s="186">
        <v>552589.28</v>
      </c>
      <c r="G15" s="186">
        <v>322928.61</v>
      </c>
      <c r="H15" s="186">
        <v>127035.69</v>
      </c>
    </row>
    <row r="16" spans="1:8" ht="12.75">
      <c r="A16" t="s">
        <v>4</v>
      </c>
      <c r="B16" s="186">
        <v>426866.69</v>
      </c>
      <c r="C16" s="188">
        <v>177733.25</v>
      </c>
      <c r="D16" s="188">
        <v>9731013</v>
      </c>
      <c r="E16" s="186">
        <v>802000</v>
      </c>
      <c r="F16" s="186">
        <v>9815.84</v>
      </c>
      <c r="G16" s="186">
        <v>306357.37</v>
      </c>
      <c r="H16" s="186">
        <v>5042826.67</v>
      </c>
    </row>
    <row r="17" spans="1:8" ht="12.75">
      <c r="A17" t="s">
        <v>5</v>
      </c>
      <c r="B17" s="186">
        <v>0</v>
      </c>
      <c r="C17" s="186">
        <v>0</v>
      </c>
      <c r="D17" s="188">
        <v>518244</v>
      </c>
      <c r="E17" s="188">
        <v>44000</v>
      </c>
      <c r="F17" s="188">
        <v>336229.07</v>
      </c>
      <c r="G17" s="186">
        <v>1854.69</v>
      </c>
      <c r="H17" s="186">
        <v>403385.2</v>
      </c>
    </row>
    <row r="18" spans="2:8" ht="12.75">
      <c r="B18" s="186"/>
      <c r="C18" s="186"/>
      <c r="D18" s="186"/>
      <c r="E18" s="186"/>
      <c r="F18" s="186"/>
      <c r="G18" s="186"/>
      <c r="H18" s="186"/>
    </row>
    <row r="19" spans="1:8" ht="12.75">
      <c r="A19" t="s">
        <v>6</v>
      </c>
      <c r="B19" s="186">
        <v>7664.84</v>
      </c>
      <c r="C19" s="186">
        <v>0</v>
      </c>
      <c r="D19" s="186">
        <v>676174</v>
      </c>
      <c r="E19" s="186">
        <v>109000</v>
      </c>
      <c r="F19" s="186">
        <v>356571.36</v>
      </c>
      <c r="G19" s="186">
        <v>0</v>
      </c>
      <c r="H19" s="186">
        <v>73947.91</v>
      </c>
    </row>
    <row r="20" spans="1:8" ht="12.75">
      <c r="A20" t="s">
        <v>7</v>
      </c>
      <c r="B20" s="186">
        <v>57447.05</v>
      </c>
      <c r="C20" s="186">
        <v>0</v>
      </c>
      <c r="D20" s="186">
        <v>623443</v>
      </c>
      <c r="E20" s="186">
        <v>134000</v>
      </c>
      <c r="F20" s="186">
        <v>37311.48</v>
      </c>
      <c r="G20" s="186">
        <v>324044.11</v>
      </c>
      <c r="H20" s="186">
        <v>420762.91</v>
      </c>
    </row>
    <row r="21" spans="1:8" ht="12.75">
      <c r="A21" t="s">
        <v>8</v>
      </c>
      <c r="B21" s="188">
        <v>108676.75</v>
      </c>
      <c r="C21" s="186">
        <v>0</v>
      </c>
      <c r="D21" s="186">
        <v>459355</v>
      </c>
      <c r="E21" s="186">
        <v>79000</v>
      </c>
      <c r="F21" s="186">
        <v>20772.42</v>
      </c>
      <c r="G21" s="186">
        <v>320354.64</v>
      </c>
      <c r="H21" s="186">
        <v>378951.49</v>
      </c>
    </row>
    <row r="22" spans="1:8" ht="12.75">
      <c r="A22" t="s">
        <v>9</v>
      </c>
      <c r="B22" s="186">
        <v>78.22</v>
      </c>
      <c r="C22" s="186">
        <v>0</v>
      </c>
      <c r="D22" s="186">
        <v>704414</v>
      </c>
      <c r="E22" s="186">
        <v>60000</v>
      </c>
      <c r="F22" s="186">
        <v>249116.57</v>
      </c>
      <c r="G22" s="186">
        <v>480970.36</v>
      </c>
      <c r="H22" s="186">
        <v>689074.46</v>
      </c>
    </row>
    <row r="23" spans="1:8" ht="12.75">
      <c r="A23" t="s">
        <v>10</v>
      </c>
      <c r="B23" s="186">
        <v>3312.08</v>
      </c>
      <c r="C23" s="186">
        <v>0</v>
      </c>
      <c r="D23" s="186">
        <v>354844</v>
      </c>
      <c r="E23" s="186">
        <v>74000</v>
      </c>
      <c r="F23" s="186">
        <v>330866.74</v>
      </c>
      <c r="G23" s="186">
        <v>9932.65</v>
      </c>
      <c r="H23" s="186">
        <v>133107</v>
      </c>
    </row>
    <row r="24" spans="2:8" ht="12.75">
      <c r="B24" s="186"/>
      <c r="C24" s="186"/>
      <c r="D24" s="186"/>
      <c r="E24" s="186"/>
      <c r="F24" s="186"/>
      <c r="G24" s="186"/>
      <c r="H24" s="186"/>
    </row>
    <row r="25" spans="1:8" ht="12.75">
      <c r="A25" t="s">
        <v>11</v>
      </c>
      <c r="B25" s="186">
        <v>0</v>
      </c>
      <c r="C25" s="186">
        <v>0</v>
      </c>
      <c r="D25" s="186">
        <v>4288469</v>
      </c>
      <c r="E25" s="186">
        <v>175000</v>
      </c>
      <c r="F25" s="186">
        <v>386105.26</v>
      </c>
      <c r="G25" s="186">
        <v>108543.75</v>
      </c>
      <c r="H25" s="186">
        <v>625631.38</v>
      </c>
    </row>
    <row r="26" spans="1:8" ht="12.75">
      <c r="A26" t="s">
        <v>12</v>
      </c>
      <c r="B26" s="186">
        <v>10000</v>
      </c>
      <c r="C26" s="186">
        <v>0</v>
      </c>
      <c r="D26" s="186">
        <v>0</v>
      </c>
      <c r="E26" s="186">
        <v>8000</v>
      </c>
      <c r="F26" s="186">
        <v>17788</v>
      </c>
      <c r="G26" s="186">
        <v>306903.29</v>
      </c>
      <c r="H26" s="186">
        <v>215205.5</v>
      </c>
    </row>
    <row r="27" spans="1:8" ht="12.75">
      <c r="A27" t="s">
        <v>13</v>
      </c>
      <c r="B27" s="188">
        <v>125000</v>
      </c>
      <c r="C27" s="186">
        <v>0</v>
      </c>
      <c r="D27" s="186">
        <v>1602977</v>
      </c>
      <c r="E27" s="186">
        <v>153000</v>
      </c>
      <c r="F27" s="186">
        <v>62451.02</v>
      </c>
      <c r="G27" s="186">
        <v>0</v>
      </c>
      <c r="H27" s="186">
        <v>2277482.77</v>
      </c>
    </row>
    <row r="28" spans="1:8" ht="12.75">
      <c r="A28" t="s">
        <v>14</v>
      </c>
      <c r="B28" s="186">
        <v>268796.65</v>
      </c>
      <c r="C28" s="186">
        <v>0</v>
      </c>
      <c r="D28" s="186">
        <v>4641181</v>
      </c>
      <c r="E28" s="186">
        <v>183000</v>
      </c>
      <c r="F28" s="186">
        <v>64645.67</v>
      </c>
      <c r="G28" s="186">
        <v>321651.33</v>
      </c>
      <c r="H28" s="186">
        <v>3979.24</v>
      </c>
    </row>
    <row r="29" spans="1:8" ht="12.75">
      <c r="A29" t="s">
        <v>15</v>
      </c>
      <c r="B29" s="186">
        <v>2194.42</v>
      </c>
      <c r="C29" s="186">
        <v>0</v>
      </c>
      <c r="D29" s="186">
        <v>167026</v>
      </c>
      <c r="E29" s="186">
        <v>0</v>
      </c>
      <c r="F29" s="186">
        <v>372800.47</v>
      </c>
      <c r="G29" s="186">
        <v>0</v>
      </c>
      <c r="H29" s="186">
        <v>288022.9</v>
      </c>
    </row>
    <row r="30" spans="2:8" ht="12.75">
      <c r="B30" s="186"/>
      <c r="C30" s="186"/>
      <c r="D30" s="186"/>
      <c r="E30" s="186"/>
      <c r="F30" s="186"/>
      <c r="G30" s="186"/>
      <c r="H30" s="186"/>
    </row>
    <row r="31" spans="1:8" ht="12.75">
      <c r="A31" t="s">
        <v>16</v>
      </c>
      <c r="B31" s="186">
        <v>7706.76</v>
      </c>
      <c r="C31" s="186">
        <v>0</v>
      </c>
      <c r="D31" s="186">
        <v>38023510</v>
      </c>
      <c r="E31" s="354">
        <v>1494000</v>
      </c>
      <c r="F31" s="186">
        <v>303088.51</v>
      </c>
      <c r="G31" s="186">
        <v>321978.21</v>
      </c>
      <c r="H31" s="186">
        <v>842956.16</v>
      </c>
    </row>
    <row r="32" spans="1:8" ht="12.75">
      <c r="A32" t="s">
        <v>17</v>
      </c>
      <c r="B32" s="186">
        <v>50702.17</v>
      </c>
      <c r="C32" s="186">
        <v>0</v>
      </c>
      <c r="D32" s="186">
        <v>46809732</v>
      </c>
      <c r="E32" s="186">
        <v>2281000</v>
      </c>
      <c r="F32" s="186">
        <v>441032.86</v>
      </c>
      <c r="G32" s="186">
        <v>196585.33</v>
      </c>
      <c r="H32" s="186">
        <v>1653518.87</v>
      </c>
    </row>
    <row r="33" spans="1:8" ht="12.75">
      <c r="A33" t="s">
        <v>18</v>
      </c>
      <c r="B33" s="186">
        <v>46921.05</v>
      </c>
      <c r="C33" s="186">
        <v>0</v>
      </c>
      <c r="D33" s="186">
        <v>283521</v>
      </c>
      <c r="E33" s="186">
        <v>0</v>
      </c>
      <c r="F33" s="186">
        <v>341902.27</v>
      </c>
      <c r="G33" s="186">
        <v>0</v>
      </c>
      <c r="H33" s="186">
        <v>517500.24</v>
      </c>
    </row>
    <row r="34" spans="1:8" ht="12.75">
      <c r="A34" t="s">
        <v>19</v>
      </c>
      <c r="B34" s="188">
        <v>257907.81</v>
      </c>
      <c r="C34" s="186">
        <v>0</v>
      </c>
      <c r="D34" s="186">
        <v>446840</v>
      </c>
      <c r="E34" s="186">
        <v>0</v>
      </c>
      <c r="F34" s="186">
        <v>388276.88</v>
      </c>
      <c r="G34" s="186">
        <v>18664.25</v>
      </c>
      <c r="H34" s="186">
        <v>387357.08</v>
      </c>
    </row>
    <row r="35" spans="1:8" ht="12.75">
      <c r="A35" t="s">
        <v>20</v>
      </c>
      <c r="B35" s="186">
        <v>0</v>
      </c>
      <c r="C35" s="186">
        <v>0</v>
      </c>
      <c r="D35" s="186">
        <v>411820</v>
      </c>
      <c r="E35" s="186">
        <v>0</v>
      </c>
      <c r="F35" s="186">
        <v>9358</v>
      </c>
      <c r="G35" s="186">
        <v>0</v>
      </c>
      <c r="H35" s="186">
        <v>386417.67</v>
      </c>
    </row>
    <row r="36" spans="2:8" ht="12.75">
      <c r="B36" s="186"/>
      <c r="C36" s="186"/>
      <c r="D36" s="186"/>
      <c r="E36" s="186"/>
      <c r="F36" s="186"/>
      <c r="G36" s="186"/>
      <c r="H36" s="186"/>
    </row>
    <row r="37" spans="1:8" ht="12.75">
      <c r="A37" t="s">
        <v>21</v>
      </c>
      <c r="B37" s="186">
        <v>0</v>
      </c>
      <c r="C37" s="186">
        <v>0</v>
      </c>
      <c r="D37" s="186">
        <v>437448</v>
      </c>
      <c r="E37" s="354">
        <v>10000</v>
      </c>
      <c r="F37" s="186">
        <v>45640.46</v>
      </c>
      <c r="G37" s="186">
        <v>337050.89</v>
      </c>
      <c r="H37" s="186">
        <v>14715.11</v>
      </c>
    </row>
    <row r="38" spans="1:8" ht="12.75">
      <c r="A38" t="s">
        <v>22</v>
      </c>
      <c r="B38" s="186">
        <v>62136.26</v>
      </c>
      <c r="C38" s="186">
        <v>0</v>
      </c>
      <c r="D38" s="186">
        <v>1608725</v>
      </c>
      <c r="E38" s="354">
        <v>161000</v>
      </c>
      <c r="F38" s="186">
        <v>394643.08</v>
      </c>
      <c r="G38" s="186">
        <v>100000</v>
      </c>
      <c r="H38" s="186">
        <v>315315.12</v>
      </c>
    </row>
    <row r="39" spans="1:8" ht="12.75">
      <c r="A39" t="s">
        <v>23</v>
      </c>
      <c r="B39" s="186">
        <v>512.08</v>
      </c>
      <c r="C39" s="186">
        <v>0</v>
      </c>
      <c r="D39" s="186">
        <v>1410746</v>
      </c>
      <c r="E39" s="186">
        <v>45000</v>
      </c>
      <c r="F39" s="186">
        <v>30501.8</v>
      </c>
      <c r="G39" s="186">
        <v>330246.16</v>
      </c>
      <c r="H39" s="186">
        <v>238240.08</v>
      </c>
    </row>
    <row r="40" spans="1:8" ht="12.75">
      <c r="A40" s="12" t="s">
        <v>24</v>
      </c>
      <c r="B40" s="192">
        <v>10000</v>
      </c>
      <c r="C40" s="192">
        <v>0</v>
      </c>
      <c r="D40" s="192">
        <v>463960</v>
      </c>
      <c r="E40" s="192">
        <v>46180.87</v>
      </c>
      <c r="F40" s="192">
        <v>19907.58</v>
      </c>
      <c r="G40" s="192">
        <v>392220.43</v>
      </c>
      <c r="H40" s="192">
        <v>77047.77</v>
      </c>
    </row>
    <row r="42" spans="2:7" ht="12.75">
      <c r="B42" s="105"/>
      <c r="C42" s="105"/>
      <c r="D42" s="105"/>
      <c r="E42" s="105"/>
      <c r="F42" s="105"/>
      <c r="G42" s="105"/>
    </row>
    <row r="43" spans="2:4" ht="12.75">
      <c r="B43" s="105"/>
      <c r="C43" s="105"/>
      <c r="D43" s="105"/>
    </row>
  </sheetData>
  <sheetProtection password="CAF5" sheet="1"/>
  <mergeCells count="10">
    <mergeCell ref="A1:H1"/>
    <mergeCell ref="A7:A10"/>
    <mergeCell ref="E7:E10"/>
    <mergeCell ref="D7:D10"/>
    <mergeCell ref="H7:H10"/>
    <mergeCell ref="A5:H5"/>
    <mergeCell ref="A6:H6"/>
    <mergeCell ref="A3:H3"/>
    <mergeCell ref="F7:F10"/>
    <mergeCell ref="G7:G10"/>
  </mergeCells>
  <printOptions horizontalCentered="1"/>
  <pageMargins left="0.27" right="0.25" top="0.83" bottom="1" header="0.67" footer="0.5"/>
  <pageSetup fitToHeight="1" fitToWidth="1" horizontalDpi="600" verticalDpi="600" orientation="landscape" scale="95" r:id="rId1"/>
  <headerFooter alignWithMargins="0">
    <oddHeader>&amp;R&amp;18
&amp;"Arial,Bold"
</oddHeader>
    <oddFooter>&amp;L&amp;"Arial,Italic"&amp;9MSDE-DBS  10 / 2009&amp;C- 10 -&amp;R&amp;"Arial,Italic"&amp;9Selected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14062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380" t="s">
        <v>125</v>
      </c>
      <c r="B1" s="380"/>
      <c r="C1" s="380"/>
      <c r="D1" s="380"/>
      <c r="E1" s="380"/>
      <c r="F1" s="380"/>
      <c r="G1" s="380"/>
      <c r="H1" s="380"/>
      <c r="I1" s="380"/>
      <c r="J1" s="380"/>
    </row>
    <row r="3" spans="1:10" ht="12.75">
      <c r="A3" s="379" t="s">
        <v>257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6" t="s">
        <v>116</v>
      </c>
      <c r="C5" s="46"/>
      <c r="D5" s="434"/>
      <c r="E5" s="434"/>
      <c r="F5" s="434"/>
      <c r="G5" s="434"/>
      <c r="H5" s="434"/>
      <c r="I5" s="4"/>
      <c r="K5" s="3"/>
      <c r="L5" s="3"/>
      <c r="M5" s="3"/>
      <c r="N5" s="3"/>
      <c r="O5" s="3"/>
    </row>
    <row r="6" spans="1:15" ht="12.75">
      <c r="A6" s="3" t="s">
        <v>83</v>
      </c>
      <c r="B6" s="434" t="s">
        <v>39</v>
      </c>
      <c r="C6" s="434"/>
      <c r="D6" s="434"/>
      <c r="E6" s="434"/>
      <c r="F6" s="4" t="s">
        <v>36</v>
      </c>
      <c r="G6" s="4"/>
      <c r="H6" s="4"/>
      <c r="I6" s="4"/>
      <c r="J6" s="4" t="s">
        <v>43</v>
      </c>
      <c r="K6" s="3"/>
      <c r="L6" s="3"/>
      <c r="M6" s="3"/>
      <c r="N6" s="3"/>
      <c r="O6" s="3"/>
    </row>
    <row r="7" spans="1:15" ht="12.75">
      <c r="A7" s="3" t="s">
        <v>35</v>
      </c>
      <c r="B7" s="434" t="s">
        <v>40</v>
      </c>
      <c r="C7" s="434"/>
      <c r="D7" s="434"/>
      <c r="E7" s="434"/>
      <c r="F7" s="4" t="s">
        <v>81</v>
      </c>
      <c r="G7" s="4"/>
      <c r="H7" s="4"/>
      <c r="I7" s="4"/>
      <c r="J7" s="4" t="s">
        <v>40</v>
      </c>
      <c r="K7" s="3"/>
      <c r="L7" s="3"/>
      <c r="M7" s="3"/>
      <c r="N7" s="3"/>
      <c r="O7" s="3"/>
    </row>
    <row r="8" spans="1:10" ht="13.5" thickBot="1">
      <c r="A8" s="7" t="s">
        <v>141</v>
      </c>
      <c r="B8" s="435" t="s">
        <v>50</v>
      </c>
      <c r="C8" s="435"/>
      <c r="D8" s="435"/>
      <c r="E8" s="435"/>
      <c r="F8" s="8" t="s">
        <v>50</v>
      </c>
      <c r="G8" s="8"/>
      <c r="H8" s="8"/>
      <c r="I8" s="8"/>
      <c r="J8" s="8" t="s">
        <v>50</v>
      </c>
    </row>
    <row r="9" spans="1:10" ht="12.75">
      <c r="A9" s="3" t="s">
        <v>0</v>
      </c>
      <c r="B9" s="287">
        <f>SUM(B11:B38)</f>
        <v>7204459.58</v>
      </c>
      <c r="C9" s="288"/>
      <c r="D9" s="289"/>
      <c r="E9" s="288"/>
      <c r="F9" s="287">
        <f>SUM(F11:F38)</f>
        <v>373362231.85</v>
      </c>
      <c r="G9" s="288"/>
      <c r="H9" s="288"/>
      <c r="I9" s="288"/>
      <c r="J9" s="288">
        <f>SUM(J11:J38)</f>
        <v>0</v>
      </c>
    </row>
    <row r="10" spans="1:10" ht="12.75">
      <c r="A10" s="3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2.75">
      <c r="A11" t="s">
        <v>1</v>
      </c>
      <c r="B11" s="186">
        <v>222581.78</v>
      </c>
      <c r="C11" s="186"/>
      <c r="D11" s="289"/>
      <c r="E11" s="186"/>
      <c r="F11" s="186">
        <v>493660</v>
      </c>
      <c r="G11" s="186"/>
      <c r="H11" s="186"/>
      <c r="I11" s="186"/>
      <c r="J11" s="186">
        <v>0</v>
      </c>
    </row>
    <row r="12" spans="1:10" ht="12.75">
      <c r="A12" t="s">
        <v>2</v>
      </c>
      <c r="B12" s="186">
        <v>429768</v>
      </c>
      <c r="C12" s="186"/>
      <c r="D12" s="289"/>
      <c r="E12" s="186"/>
      <c r="F12" s="186">
        <v>13172580</v>
      </c>
      <c r="G12" s="186"/>
      <c r="H12" s="186"/>
      <c r="I12" s="186"/>
      <c r="J12" s="186">
        <v>0</v>
      </c>
    </row>
    <row r="13" spans="1:10" ht="12.75">
      <c r="A13" t="s">
        <v>3</v>
      </c>
      <c r="B13" s="186">
        <v>919990.46</v>
      </c>
      <c r="C13" s="186"/>
      <c r="D13" s="289"/>
      <c r="E13" s="186"/>
      <c r="F13" s="186">
        <v>57761044</v>
      </c>
      <c r="G13" s="186"/>
      <c r="H13" s="186"/>
      <c r="I13" s="186"/>
      <c r="J13" s="186">
        <v>0</v>
      </c>
    </row>
    <row r="14" spans="1:10" ht="12.75">
      <c r="A14" t="s">
        <v>4</v>
      </c>
      <c r="B14" s="186">
        <v>906977</v>
      </c>
      <c r="C14" s="186"/>
      <c r="D14" s="289"/>
      <c r="E14" s="186"/>
      <c r="F14" s="186">
        <v>65241959</v>
      </c>
      <c r="G14" s="186"/>
      <c r="H14" s="186"/>
      <c r="I14" s="186"/>
      <c r="J14" s="186">
        <v>0</v>
      </c>
    </row>
    <row r="15" spans="1:10" ht="12.75">
      <c r="A15" t="s">
        <v>5</v>
      </c>
      <c r="B15" s="186">
        <v>33671</v>
      </c>
      <c r="C15" s="186"/>
      <c r="D15" s="289"/>
      <c r="E15" s="186"/>
      <c r="F15" s="186">
        <v>12151442.68</v>
      </c>
      <c r="G15" s="186"/>
      <c r="H15" s="186"/>
      <c r="I15" s="186"/>
      <c r="J15" s="186">
        <v>0</v>
      </c>
    </row>
    <row r="16" spans="2:10" ht="12.75"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0" ht="12.75">
      <c r="A17" t="s">
        <v>6</v>
      </c>
      <c r="B17" s="186">
        <v>47617.83</v>
      </c>
      <c r="C17" s="186"/>
      <c r="D17" s="289"/>
      <c r="E17" s="186"/>
      <c r="F17" s="186">
        <v>1111128.7</v>
      </c>
      <c r="G17" s="186"/>
      <c r="H17" s="186"/>
      <c r="I17" s="186"/>
      <c r="J17" s="186">
        <v>0</v>
      </c>
    </row>
    <row r="18" spans="1:10" ht="12.75">
      <c r="A18" t="s">
        <v>7</v>
      </c>
      <c r="B18" s="186">
        <v>58117.21</v>
      </c>
      <c r="C18" s="186"/>
      <c r="D18" s="289"/>
      <c r="E18" s="186"/>
      <c r="F18" s="186">
        <v>6565495.29</v>
      </c>
      <c r="G18" s="186"/>
      <c r="H18" s="186"/>
      <c r="I18" s="186"/>
      <c r="J18" s="186">
        <v>0</v>
      </c>
    </row>
    <row r="19" spans="1:10" ht="12.75">
      <c r="A19" t="s">
        <v>8</v>
      </c>
      <c r="B19" s="186">
        <v>272036.03</v>
      </c>
      <c r="C19" s="186"/>
      <c r="D19" s="289"/>
      <c r="E19" s="186"/>
      <c r="F19" s="186">
        <v>2745975</v>
      </c>
      <c r="G19" s="186"/>
      <c r="H19" s="186"/>
      <c r="I19" s="186"/>
      <c r="J19" s="186">
        <v>0</v>
      </c>
    </row>
    <row r="20" spans="1:10" ht="12.75">
      <c r="A20" t="s">
        <v>9</v>
      </c>
      <c r="B20" s="186">
        <v>166431.01</v>
      </c>
      <c r="C20" s="186"/>
      <c r="D20" s="289"/>
      <c r="E20" s="186"/>
      <c r="F20" s="186">
        <v>9842985.55</v>
      </c>
      <c r="G20" s="186"/>
      <c r="H20" s="186"/>
      <c r="I20" s="186"/>
      <c r="J20" s="186">
        <v>0</v>
      </c>
    </row>
    <row r="21" spans="1:10" ht="12.75">
      <c r="A21" t="s">
        <v>10</v>
      </c>
      <c r="B21" s="186">
        <v>109230</v>
      </c>
      <c r="C21" s="186"/>
      <c r="D21" s="289"/>
      <c r="E21" s="186"/>
      <c r="F21" s="186">
        <v>6506856</v>
      </c>
      <c r="G21" s="186"/>
      <c r="H21" s="186"/>
      <c r="I21" s="186"/>
      <c r="J21" s="186">
        <v>0</v>
      </c>
    </row>
    <row r="22" spans="2:10" ht="12.75">
      <c r="B22" s="186"/>
      <c r="C22" s="186"/>
      <c r="D22" s="186"/>
      <c r="E22" s="186"/>
      <c r="F22" s="186"/>
      <c r="G22" s="186"/>
      <c r="H22" s="186"/>
      <c r="I22" s="186"/>
      <c r="J22" s="186"/>
    </row>
    <row r="23" spans="1:10" ht="12.75">
      <c r="A23" t="s">
        <v>11</v>
      </c>
      <c r="B23" s="186">
        <v>155791</v>
      </c>
      <c r="C23" s="186"/>
      <c r="D23" s="289"/>
      <c r="E23" s="186"/>
      <c r="F23" s="186">
        <v>17890724</v>
      </c>
      <c r="G23" s="186"/>
      <c r="H23" s="186"/>
      <c r="I23" s="186"/>
      <c r="J23" s="186">
        <v>0</v>
      </c>
    </row>
    <row r="24" spans="1:10" ht="12.75">
      <c r="A24" t="s">
        <v>12</v>
      </c>
      <c r="B24" s="186">
        <v>104109</v>
      </c>
      <c r="C24" s="186"/>
      <c r="D24" s="289"/>
      <c r="E24" s="186"/>
      <c r="F24" s="186">
        <v>167562.13</v>
      </c>
      <c r="G24" s="186"/>
      <c r="H24" s="186"/>
      <c r="I24" s="186"/>
      <c r="J24" s="186">
        <v>0</v>
      </c>
    </row>
    <row r="25" spans="1:10" ht="12.75">
      <c r="A25" t="s">
        <v>13</v>
      </c>
      <c r="B25" s="186">
        <v>320785</v>
      </c>
      <c r="C25" s="186"/>
      <c r="D25" s="289"/>
      <c r="E25" s="186"/>
      <c r="F25" s="186">
        <v>20625823</v>
      </c>
      <c r="G25" s="186"/>
      <c r="H25" s="186"/>
      <c r="I25" s="186"/>
      <c r="J25" s="186">
        <v>0</v>
      </c>
    </row>
    <row r="26" spans="1:10" ht="12.75">
      <c r="A26" t="s">
        <v>14</v>
      </c>
      <c r="B26" s="186">
        <v>99773</v>
      </c>
      <c r="C26" s="186"/>
      <c r="D26" s="289"/>
      <c r="E26" s="186"/>
      <c r="F26" s="186">
        <v>13321771</v>
      </c>
      <c r="G26" s="186"/>
      <c r="H26" s="186"/>
      <c r="I26" s="186"/>
      <c r="J26" s="186">
        <v>0</v>
      </c>
    </row>
    <row r="27" spans="1:10" ht="12.75">
      <c r="A27" t="s">
        <v>15</v>
      </c>
      <c r="B27" s="186">
        <v>69389</v>
      </c>
      <c r="C27" s="186"/>
      <c r="D27" s="289"/>
      <c r="E27" s="186"/>
      <c r="F27" s="186">
        <v>1062342</v>
      </c>
      <c r="G27" s="186"/>
      <c r="H27" s="186"/>
      <c r="I27" s="186"/>
      <c r="J27" s="186">
        <v>0</v>
      </c>
    </row>
    <row r="28" spans="2:10" ht="12.75">
      <c r="B28" s="186"/>
      <c r="C28" s="186"/>
      <c r="D28" s="186"/>
      <c r="E28" s="186"/>
      <c r="F28" s="186"/>
      <c r="G28" s="186"/>
      <c r="H28" s="186"/>
      <c r="I28" s="186"/>
      <c r="J28" s="186"/>
    </row>
    <row r="29" spans="1:10" ht="12.75">
      <c r="A29" t="s">
        <v>16</v>
      </c>
      <c r="B29" s="186">
        <v>1010545</v>
      </c>
      <c r="C29" s="186"/>
      <c r="D29" s="289"/>
      <c r="E29" s="186"/>
      <c r="F29" s="186">
        <v>51973869</v>
      </c>
      <c r="G29" s="186"/>
      <c r="H29" s="186"/>
      <c r="I29" s="186"/>
      <c r="J29" s="186">
        <v>0</v>
      </c>
    </row>
    <row r="30" spans="1:10" ht="12.75">
      <c r="A30" t="s">
        <v>17</v>
      </c>
      <c r="B30" s="186">
        <v>1511937</v>
      </c>
      <c r="C30" s="186"/>
      <c r="D30" s="289"/>
      <c r="E30" s="186"/>
      <c r="F30" s="186">
        <v>52678570</v>
      </c>
      <c r="G30" s="186"/>
      <c r="H30" s="186"/>
      <c r="I30" s="186"/>
      <c r="J30" s="186">
        <v>0</v>
      </c>
    </row>
    <row r="31" spans="1:10" ht="12.75">
      <c r="A31" t="s">
        <v>18</v>
      </c>
      <c r="B31" s="186">
        <v>39000.35</v>
      </c>
      <c r="C31" s="186"/>
      <c r="D31" s="289"/>
      <c r="E31" s="186"/>
      <c r="F31" s="186">
        <v>3981605</v>
      </c>
      <c r="G31" s="186"/>
      <c r="H31" s="186"/>
      <c r="I31" s="186"/>
      <c r="J31" s="186">
        <v>0</v>
      </c>
    </row>
    <row r="32" spans="1:10" ht="12.75">
      <c r="A32" t="s">
        <v>19</v>
      </c>
      <c r="B32" s="186">
        <v>178755.99</v>
      </c>
      <c r="C32" s="186"/>
      <c r="D32" s="289"/>
      <c r="E32" s="186"/>
      <c r="F32" s="186">
        <v>7994528</v>
      </c>
      <c r="G32" s="186"/>
      <c r="H32" s="186"/>
      <c r="I32" s="186"/>
      <c r="J32" s="186">
        <v>0</v>
      </c>
    </row>
    <row r="33" spans="1:10" ht="12.75">
      <c r="A33" t="s">
        <v>20</v>
      </c>
      <c r="B33" s="186">
        <v>81653.55</v>
      </c>
      <c r="C33" s="186"/>
      <c r="D33" s="289"/>
      <c r="E33" s="186"/>
      <c r="F33" s="186">
        <v>3153402</v>
      </c>
      <c r="G33" s="186"/>
      <c r="H33" s="186"/>
      <c r="I33" s="186"/>
      <c r="J33" s="186">
        <v>0</v>
      </c>
    </row>
    <row r="34" spans="2:10" ht="12.75">
      <c r="B34" s="186"/>
      <c r="C34" s="186"/>
      <c r="D34" s="186"/>
      <c r="E34" s="186"/>
      <c r="F34" s="186"/>
      <c r="G34" s="186"/>
      <c r="H34" s="186"/>
      <c r="I34" s="186"/>
      <c r="J34" s="186"/>
    </row>
    <row r="35" spans="1:10" ht="12.75">
      <c r="A35" t="s">
        <v>21</v>
      </c>
      <c r="B35" s="186">
        <v>111748</v>
      </c>
      <c r="C35" s="186"/>
      <c r="D35" s="289"/>
      <c r="E35" s="186"/>
      <c r="F35" s="186">
        <v>2131571.15</v>
      </c>
      <c r="G35" s="186"/>
      <c r="H35" s="186"/>
      <c r="I35" s="186"/>
      <c r="J35" s="186">
        <v>0</v>
      </c>
    </row>
    <row r="36" spans="1:10" ht="12.75">
      <c r="A36" t="s">
        <v>22</v>
      </c>
      <c r="B36" s="186">
        <v>122446</v>
      </c>
      <c r="C36" s="186"/>
      <c r="D36" s="289"/>
      <c r="E36" s="186"/>
      <c r="F36" s="186">
        <v>15076396</v>
      </c>
      <c r="G36" s="186"/>
      <c r="H36" s="186"/>
      <c r="I36" s="186"/>
      <c r="J36" s="186">
        <v>0</v>
      </c>
    </row>
    <row r="37" spans="1:10" ht="12.75">
      <c r="A37" t="s">
        <v>23</v>
      </c>
      <c r="B37" s="186">
        <v>195687.37</v>
      </c>
      <c r="C37" s="186"/>
      <c r="D37" s="289"/>
      <c r="E37" s="186"/>
      <c r="F37" s="186">
        <v>259000</v>
      </c>
      <c r="G37" s="186"/>
      <c r="H37" s="186"/>
      <c r="I37" s="186"/>
      <c r="J37" s="186">
        <v>0</v>
      </c>
    </row>
    <row r="38" spans="1:10" ht="12.75">
      <c r="A38" s="12" t="s">
        <v>24</v>
      </c>
      <c r="B38" s="192">
        <v>36419</v>
      </c>
      <c r="C38" s="192"/>
      <c r="D38" s="290"/>
      <c r="E38" s="192"/>
      <c r="F38" s="192">
        <v>7451942.35</v>
      </c>
      <c r="G38" s="192"/>
      <c r="H38" s="192"/>
      <c r="I38" s="192"/>
      <c r="J38" s="192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AF5" sheet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scale="98" r:id="rId1"/>
  <headerFooter alignWithMargins="0">
    <oddFooter>&amp;L&amp;"Arial,Italic"&amp;9MSDE-DBS  10 / 2009&amp;C- 11 -&amp;R&amp;"Arial,Italic"&amp;9Selected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view="pageLayout" workbookViewId="0" topLeftCell="C4">
      <selection activeCell="B10" sqref="B10"/>
    </sheetView>
  </sheetViews>
  <sheetFormatPr defaultColWidth="9.140625" defaultRowHeight="12.75"/>
  <cols>
    <col min="1" max="1" width="17.00390625" style="3" customWidth="1"/>
    <col min="2" max="2" width="16.00390625" style="3" bestFit="1" customWidth="1"/>
    <col min="3" max="3" width="13.8515625" style="3" bestFit="1" customWidth="1"/>
    <col min="4" max="4" width="14.7109375" style="38" customWidth="1"/>
    <col min="5" max="5" width="12.8515625" style="3" bestFit="1" customWidth="1"/>
    <col min="6" max="6" width="12.8515625" style="3" customWidth="1"/>
    <col min="7" max="7" width="11.28125" style="3" bestFit="1" customWidth="1"/>
    <col min="8" max="8" width="2.140625" style="3" customWidth="1"/>
    <col min="9" max="9" width="16.421875" style="3" customWidth="1"/>
    <col min="10" max="10" width="10.00390625" style="32" customWidth="1"/>
    <col min="11" max="11" width="14.140625" style="32" customWidth="1"/>
    <col min="12" max="12" width="12.57421875" style="3" customWidth="1"/>
    <col min="13" max="13" width="14.7109375" style="3" customWidth="1"/>
    <col min="14" max="14" width="12.421875" style="3" customWidth="1"/>
    <col min="15" max="15" width="14.00390625" style="3" customWidth="1"/>
    <col min="16" max="16384" width="9.140625" style="3" customWidth="1"/>
  </cols>
  <sheetData>
    <row r="1" spans="1:12" ht="12.75">
      <c r="A1" s="434" t="s">
        <v>126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2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2.75">
      <c r="A3" s="434" t="s">
        <v>261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9:12" ht="13.5" thickBot="1">
      <c r="I4" s="11"/>
      <c r="J4" s="50"/>
      <c r="K4" s="50"/>
      <c r="L4" s="11"/>
    </row>
    <row r="5" spans="1:12" ht="15" customHeight="1" thickTop="1">
      <c r="A5" s="6"/>
      <c r="B5" s="6"/>
      <c r="C5" s="17"/>
      <c r="D5" s="83"/>
      <c r="E5" s="437"/>
      <c r="F5" s="437"/>
      <c r="G5" s="437"/>
      <c r="H5" s="17"/>
      <c r="I5" s="421" t="s">
        <v>58</v>
      </c>
      <c r="J5" s="421"/>
      <c r="K5" s="421"/>
      <c r="L5" s="421"/>
    </row>
    <row r="6" spans="3:12" ht="12.75">
      <c r="C6" s="4"/>
      <c r="D6" s="84"/>
      <c r="E6" s="424" t="s">
        <v>217</v>
      </c>
      <c r="F6" s="424"/>
      <c r="G6" s="424"/>
      <c r="H6" s="4"/>
      <c r="I6" s="438" t="s">
        <v>59</v>
      </c>
      <c r="J6" s="438"/>
      <c r="K6" s="438"/>
      <c r="L6" s="438"/>
    </row>
    <row r="7" spans="1:12" ht="12.75" customHeight="1">
      <c r="A7" s="3" t="s">
        <v>83</v>
      </c>
      <c r="B7" s="4" t="s">
        <v>45</v>
      </c>
      <c r="C7" s="70" t="s">
        <v>143</v>
      </c>
      <c r="D7" s="436" t="s">
        <v>203</v>
      </c>
      <c r="E7" s="70" t="s">
        <v>144</v>
      </c>
      <c r="F7" s="70" t="s">
        <v>147</v>
      </c>
      <c r="G7" s="70" t="s">
        <v>74</v>
      </c>
      <c r="H7" s="4"/>
      <c r="I7" s="70" t="s">
        <v>65</v>
      </c>
      <c r="J7" s="151"/>
      <c r="K7" s="151"/>
      <c r="L7" s="70" t="s">
        <v>158</v>
      </c>
    </row>
    <row r="8" spans="1:12" ht="12.75">
      <c r="A8" s="3" t="s">
        <v>35</v>
      </c>
      <c r="B8" s="4" t="s">
        <v>53</v>
      </c>
      <c r="C8" s="70" t="s">
        <v>35</v>
      </c>
      <c r="D8" s="415"/>
      <c r="E8" s="70" t="s">
        <v>73</v>
      </c>
      <c r="F8" s="70" t="s">
        <v>46</v>
      </c>
      <c r="G8" s="70" t="s">
        <v>75</v>
      </c>
      <c r="H8" s="4"/>
      <c r="I8" s="70" t="s">
        <v>60</v>
      </c>
      <c r="J8" s="151"/>
      <c r="K8" s="151" t="s">
        <v>62</v>
      </c>
      <c r="L8" s="70" t="s">
        <v>33</v>
      </c>
    </row>
    <row r="9" spans="1:12" ht="13.5" thickBot="1">
      <c r="A9" s="7" t="s">
        <v>141</v>
      </c>
      <c r="B9" s="8" t="s">
        <v>47</v>
      </c>
      <c r="C9" s="75" t="s">
        <v>57</v>
      </c>
      <c r="D9" s="416"/>
      <c r="E9" s="75" t="s">
        <v>66</v>
      </c>
      <c r="F9" s="75" t="s">
        <v>64</v>
      </c>
      <c r="G9" s="75" t="s">
        <v>35</v>
      </c>
      <c r="H9" s="8"/>
      <c r="I9" s="75" t="s">
        <v>165</v>
      </c>
      <c r="J9" s="52" t="s">
        <v>55</v>
      </c>
      <c r="K9" s="52" t="s">
        <v>63</v>
      </c>
      <c r="L9" s="75" t="s">
        <v>159</v>
      </c>
    </row>
    <row r="10" spans="1:12" s="16" customFormat="1" ht="12.75">
      <c r="A10" s="51" t="s">
        <v>0</v>
      </c>
      <c r="B10" s="94">
        <f aca="true" t="shared" si="0" ref="B10:L10">SUM(B12:B39)</f>
        <v>714971112.7900002</v>
      </c>
      <c r="C10" s="63">
        <f t="shared" si="0"/>
        <v>1674111.49</v>
      </c>
      <c r="D10" s="63">
        <f t="shared" si="0"/>
        <v>7805491.3</v>
      </c>
      <c r="E10" s="63">
        <f t="shared" si="0"/>
        <v>9332409.659999998</v>
      </c>
      <c r="F10" s="63">
        <f t="shared" si="0"/>
        <v>142599.58</v>
      </c>
      <c r="G10" s="190">
        <f t="shared" si="0"/>
        <v>1316989.83</v>
      </c>
      <c r="H10" s="16">
        <f t="shared" si="0"/>
        <v>0</v>
      </c>
      <c r="I10" s="190">
        <f t="shared" si="0"/>
        <v>196173777.04999995</v>
      </c>
      <c r="J10" s="190">
        <f t="shared" si="0"/>
        <v>536153.88</v>
      </c>
      <c r="K10" s="190">
        <f t="shared" si="0"/>
        <v>1660083.63</v>
      </c>
      <c r="L10" s="190">
        <f t="shared" si="0"/>
        <v>889316.7800000001</v>
      </c>
    </row>
    <row r="11" spans="2:12" ht="12.75">
      <c r="B11" s="39"/>
      <c r="C11" s="48"/>
      <c r="D11" s="85"/>
      <c r="E11" s="48"/>
      <c r="F11" s="48"/>
      <c r="G11" s="48"/>
      <c r="H11" s="48"/>
      <c r="I11" s="48"/>
      <c r="J11" s="191"/>
      <c r="K11" s="191"/>
      <c r="L11" s="191"/>
    </row>
    <row r="12" spans="1:38" ht="12.75">
      <c r="A12" s="3" t="s">
        <v>1</v>
      </c>
      <c r="B12" s="2">
        <f>SUM(C12:L12)+SUM(fed2!B12:I12)+SUM(fed3!B12:K12)+SUM(fed4!B12:I12)+SUM(fed5!B12:H12)</f>
        <v>11239209.639999999</v>
      </c>
      <c r="C12" s="101">
        <v>95313</v>
      </c>
      <c r="D12" s="101">
        <v>0</v>
      </c>
      <c r="E12" s="101">
        <v>145480.66</v>
      </c>
      <c r="F12" s="101">
        <v>0</v>
      </c>
      <c r="G12" s="101">
        <v>14170</v>
      </c>
      <c r="H12" s="101"/>
      <c r="I12" s="355">
        <v>2354862.62</v>
      </c>
      <c r="J12" s="101">
        <v>0</v>
      </c>
      <c r="K12" s="101">
        <v>0</v>
      </c>
      <c r="L12" s="101">
        <v>94890.77</v>
      </c>
      <c r="M12" s="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2.75">
      <c r="A13" s="3" t="s">
        <v>2</v>
      </c>
      <c r="B13" s="2">
        <f>SUM(C13:L13)+SUM(fed2!B13:I13)+SUM(fed3!B13:K13)+SUM(fed4!B13:I13)+SUM(fed5!B13:H13)</f>
        <v>47175600.41</v>
      </c>
      <c r="C13" s="101">
        <v>34160</v>
      </c>
      <c r="D13" s="101">
        <v>249451.65</v>
      </c>
      <c r="E13" s="337">
        <v>687678.68</v>
      </c>
      <c r="F13" s="337">
        <v>0</v>
      </c>
      <c r="G13" s="101">
        <v>104777.21</v>
      </c>
      <c r="H13" s="101"/>
      <c r="I13" s="355">
        <v>10394928.139999999</v>
      </c>
      <c r="J13" s="101">
        <v>0</v>
      </c>
      <c r="K13" s="101">
        <v>0</v>
      </c>
      <c r="L13" s="101"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2.75">
      <c r="A14" s="3" t="s">
        <v>3</v>
      </c>
      <c r="B14" s="2">
        <f>SUM(C14:L14)+SUM(fed2!B14:I14)+SUM(fed3!B14:K14)+SUM(fed4!B14:I14)+SUM(fed5!B14:H14)</f>
        <v>162776011.42999995</v>
      </c>
      <c r="C14" s="101">
        <v>0</v>
      </c>
      <c r="D14" s="101">
        <v>180428.97</v>
      </c>
      <c r="E14" s="101">
        <v>1966544.66</v>
      </c>
      <c r="F14" s="101">
        <v>0</v>
      </c>
      <c r="G14" s="101">
        <v>257039.33</v>
      </c>
      <c r="H14" s="101"/>
      <c r="I14" s="355">
        <v>69880562.97999999</v>
      </c>
      <c r="J14" s="101">
        <v>0</v>
      </c>
      <c r="K14" s="101">
        <v>168450.55</v>
      </c>
      <c r="L14" s="101">
        <v>458513.96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12.75">
      <c r="A15" s="3" t="s">
        <v>4</v>
      </c>
      <c r="B15" s="2">
        <f>SUM(C15:L15)+SUM(fed2!B15:I15)+SUM(fed3!B15:K15)+SUM(fed4!B15:I15)+SUM(fed5!B15:H15)</f>
        <v>83202046.28999999</v>
      </c>
      <c r="C15" s="356">
        <v>15839</v>
      </c>
      <c r="D15" s="101">
        <v>591213.32</v>
      </c>
      <c r="E15" s="101">
        <v>1089419.65</v>
      </c>
      <c r="F15" s="101">
        <v>48992.09</v>
      </c>
      <c r="G15" s="101">
        <v>132815.67</v>
      </c>
      <c r="H15" s="101"/>
      <c r="I15" s="355">
        <v>20397726.82</v>
      </c>
      <c r="J15" s="101">
        <v>0</v>
      </c>
      <c r="K15" s="101">
        <v>40179.12</v>
      </c>
      <c r="L15" s="101">
        <v>122876.3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13.5" customHeight="1">
      <c r="A16" s="3" t="s">
        <v>5</v>
      </c>
      <c r="B16" s="2">
        <f>SUM(C16:L16)+SUM(fed2!B16:I16)+SUM(fed3!B16:K16)+SUM(fed4!B16:I16)+SUM(fed5!B16:H16)</f>
        <v>8151807.23</v>
      </c>
      <c r="C16" s="101">
        <v>114872.3</v>
      </c>
      <c r="D16" s="101">
        <v>28323.2</v>
      </c>
      <c r="E16" s="101">
        <v>108630</v>
      </c>
      <c r="F16" s="101">
        <v>0</v>
      </c>
      <c r="G16" s="101">
        <v>1939.12</v>
      </c>
      <c r="H16" s="101"/>
      <c r="I16" s="355">
        <v>1304770.12</v>
      </c>
      <c r="J16" s="101">
        <v>0</v>
      </c>
      <c r="K16" s="101">
        <v>259954.6</v>
      </c>
      <c r="L16" s="101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ht="13.5" customHeight="1">
      <c r="B17" s="2"/>
      <c r="C17" s="101"/>
      <c r="D17" s="243"/>
      <c r="E17" s="101"/>
      <c r="F17" s="101"/>
      <c r="G17" s="101"/>
      <c r="H17" s="101"/>
      <c r="I17" s="355"/>
      <c r="J17" s="101"/>
      <c r="K17" s="101"/>
      <c r="L17" s="101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2.75">
      <c r="A18" s="3" t="s">
        <v>6</v>
      </c>
      <c r="B18" s="2">
        <f>SUM(C18:L18)+SUM(fed2!B18:I18)+SUM(fed3!B18:K18)+SUM(fed4!B18:I18)+SUM(fed5!B18:H18)</f>
        <v>5495370.21</v>
      </c>
      <c r="C18" s="101">
        <v>0</v>
      </c>
      <c r="D18" s="101">
        <v>25700.42</v>
      </c>
      <c r="E18" s="101">
        <v>122677.51</v>
      </c>
      <c r="F18" s="101">
        <v>0</v>
      </c>
      <c r="G18" s="101">
        <v>12477</v>
      </c>
      <c r="H18" s="101"/>
      <c r="I18" s="355">
        <v>1075430.59</v>
      </c>
      <c r="J18" s="101">
        <v>0</v>
      </c>
      <c r="K18" s="101">
        <v>0</v>
      </c>
      <c r="L18" s="101"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2.75">
      <c r="A19" s="3" t="s">
        <v>7</v>
      </c>
      <c r="B19" s="2">
        <f>SUM(C19:L19)+SUM(fed2!B19:I19)+SUM(fed3!B19:K19)+SUM(fed4!B19:I19)+SUM(fed5!B19:H19)</f>
        <v>12704829.84</v>
      </c>
      <c r="C19" s="101">
        <v>0</v>
      </c>
      <c r="D19" s="101">
        <v>32665.81</v>
      </c>
      <c r="E19" s="101">
        <v>200129.65</v>
      </c>
      <c r="F19" s="101">
        <v>3667.36</v>
      </c>
      <c r="G19" s="101">
        <v>55379.56</v>
      </c>
      <c r="H19" s="101"/>
      <c r="I19" s="357">
        <v>1845769.71</v>
      </c>
      <c r="J19" s="101">
        <v>0</v>
      </c>
      <c r="K19" s="101">
        <v>0</v>
      </c>
      <c r="L19" s="101"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2.75">
      <c r="A20" s="3" t="s">
        <v>8</v>
      </c>
      <c r="B20" s="2">
        <f>SUM(C20:L20)+SUM(fed2!B20:I20)+SUM(fed3!B20:K20)+SUM(fed4!B20:I20)+SUM(fed5!B20:H20)</f>
        <v>10285042.26</v>
      </c>
      <c r="C20" s="101">
        <v>0</v>
      </c>
      <c r="D20" s="337">
        <v>22234.09</v>
      </c>
      <c r="E20" s="337">
        <v>160197.27</v>
      </c>
      <c r="F20" s="101">
        <v>647.06</v>
      </c>
      <c r="G20" s="101">
        <v>51619.49</v>
      </c>
      <c r="H20" s="101"/>
      <c r="I20" s="355">
        <v>2180334.12</v>
      </c>
      <c r="J20" s="101">
        <v>0</v>
      </c>
      <c r="K20" s="101">
        <v>0</v>
      </c>
      <c r="L20" s="101"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2.75">
      <c r="A21" s="3" t="s">
        <v>9</v>
      </c>
      <c r="B21" s="2">
        <f>SUM(C21:L21)+SUM(fed2!B21:I21)+SUM(fed3!B21:K21)+SUM(fed4!B21:I21)+SUM(fed5!B21:H21)</f>
        <v>15086953.73</v>
      </c>
      <c r="C21" s="101">
        <v>266131.97</v>
      </c>
      <c r="D21" s="337">
        <v>57859.39</v>
      </c>
      <c r="E21" s="101">
        <v>207413.2</v>
      </c>
      <c r="F21" s="101">
        <v>0</v>
      </c>
      <c r="G21" s="101">
        <v>19554</v>
      </c>
      <c r="H21" s="101"/>
      <c r="I21" s="355">
        <v>3669546.59</v>
      </c>
      <c r="J21" s="101">
        <v>0</v>
      </c>
      <c r="K21" s="101">
        <v>14419.41</v>
      </c>
      <c r="L21" s="101"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2.75">
      <c r="A22" s="3" t="s">
        <v>10</v>
      </c>
      <c r="B22" s="2">
        <f>SUM(C22:L22)+SUM(fed2!B22:I22)+SUM(fed3!B22:K22)+SUM(fed4!B22:I22)+SUM(fed5!B22:H22)</f>
        <v>6504858.549999999</v>
      </c>
      <c r="C22" s="101">
        <v>278565.05</v>
      </c>
      <c r="D22" s="101">
        <v>2712.73</v>
      </c>
      <c r="E22" s="101">
        <v>69312</v>
      </c>
      <c r="F22" s="101">
        <v>2427.25</v>
      </c>
      <c r="G22" s="101">
        <v>8269</v>
      </c>
      <c r="H22" s="101"/>
      <c r="I22" s="355">
        <v>1518703.74</v>
      </c>
      <c r="J22" s="337">
        <v>115891</v>
      </c>
      <c r="K22" s="101">
        <v>34841.13</v>
      </c>
      <c r="L22" s="101"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ht="12.75">
      <c r="B23" s="2"/>
      <c r="C23" s="101"/>
      <c r="D23" s="243"/>
      <c r="E23" s="101"/>
      <c r="F23" s="101"/>
      <c r="G23" s="101"/>
      <c r="H23" s="101"/>
      <c r="I23" s="355"/>
      <c r="J23" s="101"/>
      <c r="K23" s="101"/>
      <c r="L23" s="10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12.75">
      <c r="A24" s="3" t="s">
        <v>11</v>
      </c>
      <c r="B24" s="2">
        <f>SUM(C24:L24)+SUM(fed2!B24:I24)+SUM(fed3!B24:K24)+SUM(fed4!B24:I24)+SUM(fed5!B24:H24)</f>
        <v>18158762.15</v>
      </c>
      <c r="C24" s="101">
        <v>284899</v>
      </c>
      <c r="D24" s="337">
        <v>172767.45</v>
      </c>
      <c r="E24" s="101">
        <v>267121</v>
      </c>
      <c r="F24" s="101">
        <v>0</v>
      </c>
      <c r="G24" s="101">
        <v>62508</v>
      </c>
      <c r="H24" s="101"/>
      <c r="I24" s="355">
        <v>3479255.55</v>
      </c>
      <c r="J24" s="101">
        <v>0</v>
      </c>
      <c r="K24" s="92">
        <v>212173.31</v>
      </c>
      <c r="L24" s="101">
        <v>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2.75">
      <c r="A25" s="3" t="s">
        <v>12</v>
      </c>
      <c r="B25" s="2">
        <f>SUM(C25:L25)+SUM(fed2!B25:I25)+SUM(fed3!B25:K25)+SUM(fed4!B25:I25)+SUM(fed5!B25:H25)</f>
        <v>5089912.5</v>
      </c>
      <c r="C25" s="101">
        <v>0</v>
      </c>
      <c r="D25" s="194">
        <v>0</v>
      </c>
      <c r="E25" s="101">
        <v>62924</v>
      </c>
      <c r="F25" s="101">
        <v>10656.88</v>
      </c>
      <c r="G25" s="101">
        <v>7507</v>
      </c>
      <c r="H25" s="101"/>
      <c r="I25" s="355">
        <v>1193679.81</v>
      </c>
      <c r="J25" s="101">
        <v>0</v>
      </c>
      <c r="K25" s="101">
        <v>0</v>
      </c>
      <c r="L25" s="101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12.75">
      <c r="A26" s="3" t="s">
        <v>13</v>
      </c>
      <c r="B26" s="2">
        <f>SUM(C26:L26)+SUM(fed2!B26:I26)+SUM(fed3!B26:K26)+SUM(fed4!B26:I26)+SUM(fed5!B26:H26)</f>
        <v>21943690.69</v>
      </c>
      <c r="C26" s="101">
        <v>0</v>
      </c>
      <c r="D26" s="337">
        <v>76766.69</v>
      </c>
      <c r="E26" s="337">
        <v>316750</v>
      </c>
      <c r="F26" s="101">
        <v>60938.81</v>
      </c>
      <c r="G26" s="337">
        <v>69526.19</v>
      </c>
      <c r="H26" s="101"/>
      <c r="I26" s="355">
        <v>4139110.48</v>
      </c>
      <c r="J26" s="101">
        <v>0</v>
      </c>
      <c r="K26" s="101">
        <v>0</v>
      </c>
      <c r="L26" s="101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12.75">
      <c r="A27" s="3" t="s">
        <v>14</v>
      </c>
      <c r="B27" s="2">
        <f>SUM(C27:L27)+SUM(fed2!B27:I27)+SUM(fed3!B27:K27)+SUM(fed4!B27:I27)+SUM(fed5!B27:H27)</f>
        <v>20728736.17</v>
      </c>
      <c r="C27" s="101">
        <v>0</v>
      </c>
      <c r="D27" s="337">
        <v>270339.3</v>
      </c>
      <c r="E27" s="92">
        <v>423579.1</v>
      </c>
      <c r="F27" s="101">
        <v>0</v>
      </c>
      <c r="G27" s="101">
        <v>33363.91</v>
      </c>
      <c r="H27" s="101"/>
      <c r="I27" s="355">
        <v>3096237.74</v>
      </c>
      <c r="J27" s="101">
        <v>0</v>
      </c>
      <c r="K27" s="101">
        <v>52327.99</v>
      </c>
      <c r="L27" s="101"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ht="12.75">
      <c r="A28" s="3" t="s">
        <v>15</v>
      </c>
      <c r="B28" s="2">
        <f>SUM(C28:L28)+SUM(fed2!B28:I28)+SUM(fed3!B28:K28)+SUM(fed4!B28:I28)+SUM(fed5!B28:H28)</f>
        <v>2898054.17</v>
      </c>
      <c r="C28" s="101">
        <v>76719.81</v>
      </c>
      <c r="D28" s="337">
        <v>18577.71</v>
      </c>
      <c r="E28" s="92">
        <v>30155</v>
      </c>
      <c r="F28" s="101">
        <v>0</v>
      </c>
      <c r="G28" s="101">
        <v>8597</v>
      </c>
      <c r="H28" s="101"/>
      <c r="I28" s="355">
        <v>581775.55</v>
      </c>
      <c r="J28" s="101">
        <v>0</v>
      </c>
      <c r="K28" s="101">
        <v>0</v>
      </c>
      <c r="L28" s="101">
        <v>13436.29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ht="12.75">
      <c r="B29" s="2"/>
      <c r="C29" s="101"/>
      <c r="D29" s="243"/>
      <c r="E29" s="92"/>
      <c r="F29" s="101"/>
      <c r="G29" s="101"/>
      <c r="H29" s="101"/>
      <c r="I29" s="355"/>
      <c r="J29" s="101"/>
      <c r="K29" s="64"/>
      <c r="L29" s="10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ht="12.75">
      <c r="A30" s="3" t="s">
        <v>16</v>
      </c>
      <c r="B30" s="2">
        <f>SUM(C30:L30)+SUM(fed2!B30:I30)+SUM(fed3!B30:K30)+SUM(fed4!B30:I30)+SUM(fed5!B30:H30)</f>
        <v>96273253.21000001</v>
      </c>
      <c r="C30" s="101">
        <v>0</v>
      </c>
      <c r="D30" s="194">
        <v>3698986.65</v>
      </c>
      <c r="E30" s="101">
        <v>1287273</v>
      </c>
      <c r="F30" s="101">
        <v>0</v>
      </c>
      <c r="G30" s="101">
        <v>212799.69</v>
      </c>
      <c r="H30" s="101"/>
      <c r="I30" s="337">
        <v>23949766.67</v>
      </c>
      <c r="J30" s="101">
        <v>0</v>
      </c>
      <c r="K30" s="101">
        <v>221435.04</v>
      </c>
      <c r="L30" s="101">
        <v>146225.31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2.75">
      <c r="A31" s="3" t="s">
        <v>17</v>
      </c>
      <c r="B31" s="2">
        <f>SUM(C31:L31)+SUM(fed2!B31:I31)+SUM(fed3!B31:K31)+SUM(fed4!B31:I31)+SUM(fed5!B31:H31)</f>
        <v>120523900.97999997</v>
      </c>
      <c r="C31" s="101">
        <v>0</v>
      </c>
      <c r="D31" s="194">
        <v>2112865.87</v>
      </c>
      <c r="E31" s="101">
        <v>1313096.44</v>
      </c>
      <c r="F31" s="101">
        <v>3945.01</v>
      </c>
      <c r="G31" s="101">
        <v>143684.28</v>
      </c>
      <c r="H31" s="101"/>
      <c r="I31" s="355">
        <v>31537708.759999998</v>
      </c>
      <c r="J31" s="101">
        <v>0</v>
      </c>
      <c r="K31" s="101">
        <v>468724.61</v>
      </c>
      <c r="L31" s="337">
        <v>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2.75">
      <c r="A32" s="3" t="s">
        <v>18</v>
      </c>
      <c r="B32" s="2">
        <f>SUM(C32:L32)+SUM(fed2!B32:I32)+SUM(fed3!B32:K32)+SUM(fed4!B32:I32)+SUM(fed5!B32:H32)</f>
        <v>4755543.47</v>
      </c>
      <c r="C32" s="101">
        <v>89306</v>
      </c>
      <c r="D32" s="194">
        <v>28719.37</v>
      </c>
      <c r="E32" s="101">
        <v>73881.4</v>
      </c>
      <c r="F32" s="101">
        <v>0</v>
      </c>
      <c r="G32" s="337">
        <v>6889</v>
      </c>
      <c r="H32" s="101"/>
      <c r="I32" s="355">
        <v>717581.9</v>
      </c>
      <c r="J32" s="101">
        <v>249283.34</v>
      </c>
      <c r="K32" s="92">
        <v>187577.87</v>
      </c>
      <c r="L32" s="337"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2.75">
      <c r="A33" s="3" t="s">
        <v>19</v>
      </c>
      <c r="B33" s="2">
        <f>SUM(C33:L33)+SUM(fed2!B33:I33)+SUM(fed3!B33:K33)+SUM(fed4!B33:I33)+SUM(fed5!B33:H33)</f>
        <v>12985504.479999999</v>
      </c>
      <c r="C33" s="101">
        <v>111986</v>
      </c>
      <c r="D33" s="194">
        <v>43841.9</v>
      </c>
      <c r="E33" s="101">
        <v>146552.26</v>
      </c>
      <c r="F33" s="101">
        <v>11325.12</v>
      </c>
      <c r="G33" s="101">
        <v>18206</v>
      </c>
      <c r="H33" s="101"/>
      <c r="I33" s="355">
        <v>2260341.92</v>
      </c>
      <c r="J33" s="101">
        <v>0</v>
      </c>
      <c r="K33" s="101">
        <v>0</v>
      </c>
      <c r="L33" s="101"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2.75">
      <c r="A34" s="3" t="s">
        <v>20</v>
      </c>
      <c r="B34" s="2">
        <f>SUM(C34:L34)+SUM(fed2!B34:I34)+SUM(fed3!B34:K34)+SUM(fed4!B34:I34)+SUM(fed5!B34:H34)</f>
        <v>5985059.34</v>
      </c>
      <c r="C34" s="101">
        <v>71381.42</v>
      </c>
      <c r="D34" s="194">
        <v>10502.05</v>
      </c>
      <c r="E34" s="101">
        <v>53615.12</v>
      </c>
      <c r="F34" s="101">
        <v>0</v>
      </c>
      <c r="G34" s="101">
        <v>5932.52</v>
      </c>
      <c r="H34" s="101"/>
      <c r="I34" s="355">
        <v>1148651.27</v>
      </c>
      <c r="J34" s="101">
        <v>170979.54</v>
      </c>
      <c r="K34" s="101">
        <v>0</v>
      </c>
      <c r="L34" s="101"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2:38" ht="12.75">
      <c r="B35" s="2"/>
      <c r="C35" s="101"/>
      <c r="D35" s="243"/>
      <c r="E35" s="101"/>
      <c r="F35" s="101"/>
      <c r="G35" s="101"/>
      <c r="H35" s="101"/>
      <c r="I35" s="355"/>
      <c r="J35" s="101"/>
      <c r="K35" s="101"/>
      <c r="L35" s="101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2.75">
      <c r="A36" s="3" t="s">
        <v>21</v>
      </c>
      <c r="B36" s="2">
        <f>SUM(C36:L36)+SUM(fed2!B36:I36)+SUM(fed3!B36:K36)+SUM(fed4!B36:I36)+SUM(fed5!B36:H36)</f>
        <v>3315896.21</v>
      </c>
      <c r="C36" s="101">
        <v>0</v>
      </c>
      <c r="D36" s="194">
        <v>33932.27</v>
      </c>
      <c r="E36" s="337">
        <v>47109.1</v>
      </c>
      <c r="F36" s="337">
        <v>0</v>
      </c>
      <c r="G36" s="101">
        <v>5733</v>
      </c>
      <c r="H36" s="101"/>
      <c r="I36" s="355">
        <v>758938.85</v>
      </c>
      <c r="J36" s="101">
        <v>0</v>
      </c>
      <c r="K36" s="101">
        <v>0</v>
      </c>
      <c r="L36" s="101">
        <v>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2.75">
      <c r="A37" s="3" t="s">
        <v>22</v>
      </c>
      <c r="B37" s="2">
        <f>SUM(C37:L37)+SUM(fed2!B37:I37)+SUM(fed3!B37:K37)+SUM(fed4!B37:I37)+SUM(fed5!B37:H37)</f>
        <v>17334410.66</v>
      </c>
      <c r="C37" s="101">
        <v>30.94</v>
      </c>
      <c r="D37" s="76">
        <v>35187.94</v>
      </c>
      <c r="E37" s="101">
        <v>256568.96</v>
      </c>
      <c r="F37" s="101">
        <v>0</v>
      </c>
      <c r="G37" s="101">
        <v>53506.86</v>
      </c>
      <c r="H37" s="101"/>
      <c r="I37" s="355">
        <v>3834449.41</v>
      </c>
      <c r="J37" s="101">
        <v>0</v>
      </c>
      <c r="K37" s="101">
        <v>0</v>
      </c>
      <c r="L37" s="101">
        <v>53374.15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2.75">
      <c r="A38" s="3" t="s">
        <v>23</v>
      </c>
      <c r="B38" s="2">
        <f>SUM(C38:L38)+SUM(fed2!B38:I38)+SUM(fed3!B38:K38)+SUM(fed4!B38:I38)+SUM(fed5!B38:H38)</f>
        <v>14443599.22</v>
      </c>
      <c r="C38" s="101">
        <v>147050</v>
      </c>
      <c r="D38" s="194">
        <v>73744.96</v>
      </c>
      <c r="E38" s="101">
        <v>178467</v>
      </c>
      <c r="F38" s="101">
        <v>0</v>
      </c>
      <c r="G38" s="101">
        <v>21291</v>
      </c>
      <c r="H38" s="101"/>
      <c r="I38" s="355">
        <v>3556428.36</v>
      </c>
      <c r="J38" s="101">
        <v>0</v>
      </c>
      <c r="K38" s="101">
        <v>0</v>
      </c>
      <c r="L38" s="101">
        <v>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2.75">
      <c r="A39" s="12" t="s">
        <v>24</v>
      </c>
      <c r="B39" s="13">
        <f>SUM(C39:L39)+SUM(fed2!B39:I39)+SUM(fed3!B39:K39)+SUM(fed4!B39:I39)+SUM(fed5!B39:H39)</f>
        <v>7913059.949999999</v>
      </c>
      <c r="C39" s="339">
        <v>87857</v>
      </c>
      <c r="D39" s="358">
        <v>38669.56</v>
      </c>
      <c r="E39" s="339">
        <v>117834</v>
      </c>
      <c r="F39" s="339">
        <v>0</v>
      </c>
      <c r="G39" s="339">
        <v>9405</v>
      </c>
      <c r="H39" s="339"/>
      <c r="I39" s="359">
        <v>1297215.35</v>
      </c>
      <c r="J39" s="339">
        <v>0</v>
      </c>
      <c r="K39" s="339">
        <v>0</v>
      </c>
      <c r="L39" s="339"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ht="12.75">
      <c r="B40" s="15"/>
      <c r="C40" s="73"/>
      <c r="D40" s="76"/>
      <c r="E40" s="73"/>
      <c r="F40" s="73"/>
      <c r="G40" s="73"/>
      <c r="H40" s="73"/>
      <c r="I40" s="73"/>
      <c r="J40" s="73"/>
      <c r="K40" s="73"/>
      <c r="L40" s="73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2:38" ht="12.75">
      <c r="B41" s="97"/>
      <c r="C41" s="15"/>
      <c r="E41" s="15"/>
      <c r="F41" s="15"/>
      <c r="G41" s="15"/>
      <c r="H41" s="15"/>
      <c r="I41" s="15"/>
      <c r="J41" s="53"/>
      <c r="K41" s="53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3:38" ht="12.75">
      <c r="C42" s="15"/>
      <c r="E42" s="15"/>
      <c r="F42" s="15"/>
      <c r="G42" s="15"/>
      <c r="H42" s="15"/>
      <c r="I42" s="15"/>
      <c r="J42" s="53"/>
      <c r="K42" s="5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3:38" ht="12.75">
      <c r="C43" s="15"/>
      <c r="E43" s="15"/>
      <c r="F43" s="15"/>
      <c r="G43" s="15"/>
      <c r="H43" s="15"/>
      <c r="I43" s="15"/>
      <c r="J43" s="53"/>
      <c r="K43" s="5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3:38" ht="12.75">
      <c r="C44" s="15"/>
      <c r="E44" s="15"/>
      <c r="F44" s="15"/>
      <c r="G44" s="15"/>
      <c r="H44" s="15"/>
      <c r="I44" s="15"/>
      <c r="J44" s="53"/>
      <c r="K44" s="5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3:38" ht="12.75">
      <c r="C45" s="15"/>
      <c r="E45" s="15"/>
      <c r="F45" s="15"/>
      <c r="G45" s="15"/>
      <c r="H45" s="15"/>
      <c r="I45" s="15"/>
      <c r="J45" s="53"/>
      <c r="K45" s="5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3:38" ht="12.75">
      <c r="C46" s="15"/>
      <c r="E46" s="15"/>
      <c r="F46" s="15"/>
      <c r="G46" s="15"/>
      <c r="H46" s="15"/>
      <c r="I46" s="15"/>
      <c r="J46" s="53"/>
      <c r="K46" s="5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ht="12.75">
      <c r="C47" s="15"/>
      <c r="E47" s="15"/>
      <c r="F47" s="15"/>
      <c r="G47" s="15"/>
      <c r="H47" s="15"/>
      <c r="I47" s="15"/>
      <c r="J47" s="53"/>
      <c r="K47" s="5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3:38" ht="12.75">
      <c r="C48" s="15"/>
      <c r="E48" s="15"/>
      <c r="F48" s="15"/>
      <c r="G48" s="15"/>
      <c r="H48" s="15"/>
      <c r="I48" s="15"/>
      <c r="J48" s="53"/>
      <c r="K48" s="5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3:38" ht="12.75">
      <c r="C49" s="15"/>
      <c r="E49" s="15"/>
      <c r="F49" s="15"/>
      <c r="G49" s="15"/>
      <c r="H49" s="15"/>
      <c r="I49" s="15"/>
      <c r="J49" s="53"/>
      <c r="K49" s="5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3:38" ht="12.75">
      <c r="C50" s="15"/>
      <c r="E50" s="15"/>
      <c r="F50" s="15"/>
      <c r="G50" s="15"/>
      <c r="H50" s="15"/>
      <c r="I50" s="15"/>
      <c r="J50" s="53"/>
      <c r="K50" s="5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3:38" ht="12.75">
      <c r="C51" s="15"/>
      <c r="E51" s="15"/>
      <c r="F51" s="15"/>
      <c r="G51" s="15"/>
      <c r="H51" s="15"/>
      <c r="I51" s="15"/>
      <c r="J51" s="53"/>
      <c r="K51" s="5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3:38" ht="12.75">
      <c r="C52" s="15"/>
      <c r="E52" s="15"/>
      <c r="F52" s="15"/>
      <c r="G52" s="15"/>
      <c r="H52" s="15"/>
      <c r="I52" s="15"/>
      <c r="J52" s="53"/>
      <c r="K52" s="53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ht="12.75">
      <c r="C53" s="15"/>
      <c r="E53" s="15"/>
      <c r="F53" s="15"/>
      <c r="G53" s="15"/>
      <c r="H53" s="15"/>
      <c r="I53" s="15"/>
      <c r="J53" s="53"/>
      <c r="K53" s="53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3:38" ht="12.75">
      <c r="C54" s="15"/>
      <c r="E54" s="15"/>
      <c r="F54" s="15"/>
      <c r="G54" s="15"/>
      <c r="H54" s="15"/>
      <c r="I54" s="15"/>
      <c r="J54" s="53"/>
      <c r="K54" s="5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3:38" ht="12.75">
      <c r="C55" s="15"/>
      <c r="E55" s="15"/>
      <c r="F55" s="15"/>
      <c r="G55" s="15"/>
      <c r="H55" s="15"/>
      <c r="I55" s="15"/>
      <c r="J55" s="53"/>
      <c r="K55" s="5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3:38" ht="12.75">
      <c r="C56" s="15"/>
      <c r="E56" s="15"/>
      <c r="F56" s="15"/>
      <c r="G56" s="15"/>
      <c r="H56" s="15"/>
      <c r="I56" s="15"/>
      <c r="J56" s="53"/>
      <c r="K56" s="5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3:38" ht="12.75">
      <c r="C57" s="15"/>
      <c r="E57" s="15"/>
      <c r="F57" s="15"/>
      <c r="G57" s="15"/>
      <c r="H57" s="15"/>
      <c r="I57" s="15"/>
      <c r="J57" s="53"/>
      <c r="K57" s="5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3:38" ht="12.75">
      <c r="C58" s="15"/>
      <c r="E58" s="15"/>
      <c r="F58" s="15"/>
      <c r="G58" s="15"/>
      <c r="H58" s="15"/>
      <c r="I58" s="15"/>
      <c r="J58" s="53"/>
      <c r="K58" s="5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3:38" ht="12.75">
      <c r="C59" s="15"/>
      <c r="E59" s="15"/>
      <c r="F59" s="15"/>
      <c r="G59" s="15"/>
      <c r="H59" s="15"/>
      <c r="I59" s="15"/>
      <c r="J59" s="53"/>
      <c r="K59" s="5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3:38" ht="12.75">
      <c r="C60" s="15"/>
      <c r="E60" s="15"/>
      <c r="F60" s="15"/>
      <c r="G60" s="15"/>
      <c r="H60" s="15"/>
      <c r="I60" s="15"/>
      <c r="J60" s="53"/>
      <c r="K60" s="5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3:38" ht="12.75">
      <c r="C61" s="15"/>
      <c r="E61" s="15"/>
      <c r="F61" s="15"/>
      <c r="G61" s="15"/>
      <c r="H61" s="15"/>
      <c r="I61" s="15"/>
      <c r="J61" s="53"/>
      <c r="K61" s="53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3:38" ht="12.75">
      <c r="C62" s="15"/>
      <c r="E62" s="15"/>
      <c r="F62" s="15"/>
      <c r="G62" s="15"/>
      <c r="H62" s="15"/>
      <c r="I62" s="15"/>
      <c r="J62" s="53"/>
      <c r="K62" s="53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3:38" ht="12.75">
      <c r="C63" s="15"/>
      <c r="E63" s="15"/>
      <c r="F63" s="15"/>
      <c r="G63" s="15"/>
      <c r="H63" s="15"/>
      <c r="I63" s="15"/>
      <c r="J63" s="53"/>
      <c r="K63" s="5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3:38" ht="12.75">
      <c r="C64" s="15"/>
      <c r="E64" s="15"/>
      <c r="F64" s="15"/>
      <c r="G64" s="15"/>
      <c r="H64" s="15"/>
      <c r="I64" s="15"/>
      <c r="J64" s="53"/>
      <c r="K64" s="53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3:38" ht="12.75">
      <c r="C65" s="15"/>
      <c r="E65" s="15"/>
      <c r="F65" s="15"/>
      <c r="G65" s="15"/>
      <c r="H65" s="15"/>
      <c r="I65" s="15"/>
      <c r="J65" s="53"/>
      <c r="K65" s="53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3:38" ht="12.75">
      <c r="C66" s="15"/>
      <c r="E66" s="15"/>
      <c r="F66" s="15"/>
      <c r="G66" s="15"/>
      <c r="H66" s="15"/>
      <c r="I66" s="15"/>
      <c r="J66" s="53"/>
      <c r="K66" s="53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3:38" ht="12.75">
      <c r="C67" s="15"/>
      <c r="E67" s="15"/>
      <c r="F67" s="15"/>
      <c r="G67" s="15"/>
      <c r="H67" s="15"/>
      <c r="I67" s="15"/>
      <c r="J67" s="53"/>
      <c r="K67" s="5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3:38" ht="12.75">
      <c r="C68" s="15"/>
      <c r="E68" s="15"/>
      <c r="F68" s="15"/>
      <c r="G68" s="15"/>
      <c r="H68" s="15"/>
      <c r="I68" s="15"/>
      <c r="J68" s="53"/>
      <c r="K68" s="53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3:38" ht="12.75">
      <c r="C69" s="15"/>
      <c r="E69" s="15"/>
      <c r="F69" s="15"/>
      <c r="G69" s="15"/>
      <c r="H69" s="15"/>
      <c r="I69" s="15"/>
      <c r="J69" s="53"/>
      <c r="K69" s="53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3:38" ht="12.75">
      <c r="C70" s="15"/>
      <c r="E70" s="15"/>
      <c r="F70" s="15"/>
      <c r="G70" s="15"/>
      <c r="H70" s="15"/>
      <c r="I70" s="15"/>
      <c r="J70" s="53"/>
      <c r="K70" s="53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3:38" ht="12.75">
      <c r="C71" s="15"/>
      <c r="E71" s="15"/>
      <c r="F71" s="15"/>
      <c r="G71" s="15"/>
      <c r="H71" s="15"/>
      <c r="I71" s="15"/>
      <c r="J71" s="53"/>
      <c r="K71" s="53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3:38" ht="12.75">
      <c r="C72" s="15"/>
      <c r="E72" s="15"/>
      <c r="F72" s="15"/>
      <c r="G72" s="15"/>
      <c r="H72" s="15"/>
      <c r="I72" s="15"/>
      <c r="J72" s="53"/>
      <c r="K72" s="53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3:38" ht="12.75">
      <c r="C73" s="15"/>
      <c r="E73" s="15"/>
      <c r="F73" s="15"/>
      <c r="G73" s="15"/>
      <c r="H73" s="15"/>
      <c r="I73" s="15"/>
      <c r="J73" s="53"/>
      <c r="K73" s="53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3:38" ht="12.75">
      <c r="C74" s="15"/>
      <c r="E74" s="15"/>
      <c r="F74" s="15"/>
      <c r="G74" s="15"/>
      <c r="H74" s="15"/>
      <c r="I74" s="15"/>
      <c r="J74" s="53"/>
      <c r="K74" s="53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3:38" ht="12.75">
      <c r="C75" s="15"/>
      <c r="E75" s="15"/>
      <c r="F75" s="15"/>
      <c r="G75" s="15"/>
      <c r="H75" s="15"/>
      <c r="I75" s="15"/>
      <c r="J75" s="53"/>
      <c r="K75" s="5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3:38" ht="12.75">
      <c r="C76" s="15"/>
      <c r="E76" s="15"/>
      <c r="F76" s="15"/>
      <c r="G76" s="15"/>
      <c r="H76" s="15"/>
      <c r="I76" s="15"/>
      <c r="J76" s="53"/>
      <c r="K76" s="53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</sheetData>
  <sheetProtection password="CAF5" sheet="1"/>
  <mergeCells count="8">
    <mergeCell ref="D7:D9"/>
    <mergeCell ref="A2:L2"/>
    <mergeCell ref="E5:G5"/>
    <mergeCell ref="A3:L3"/>
    <mergeCell ref="A1:L1"/>
    <mergeCell ref="I5:L5"/>
    <mergeCell ref="I6:L6"/>
    <mergeCell ref="E6:G6"/>
  </mergeCells>
  <printOptions horizontalCentered="1"/>
  <pageMargins left="0.27" right="0.34" top="0.83" bottom="1" header="0.67" footer="0.5"/>
  <pageSetup fitToHeight="1" fitToWidth="1" horizontalDpi="600" verticalDpi="600" orientation="landscape" scale="86" r:id="rId1"/>
  <headerFooter alignWithMargins="0">
    <oddFooter>&amp;L&amp;"Arial,Italic"&amp;9MSDE-DBS  10 / 2009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Layout" workbookViewId="0" topLeftCell="A1">
      <selection activeCell="J14" sqref="J14"/>
    </sheetView>
  </sheetViews>
  <sheetFormatPr defaultColWidth="9.140625" defaultRowHeight="12.75"/>
  <cols>
    <col min="1" max="2" width="14.421875" style="0" customWidth="1"/>
    <col min="3" max="3" width="11.57421875" style="0" customWidth="1"/>
    <col min="4" max="4" width="13.8515625" style="0" bestFit="1" customWidth="1"/>
    <col min="5" max="5" width="11.28125" style="0" customWidth="1"/>
    <col min="6" max="6" width="12.28125" style="0" bestFit="1" customWidth="1"/>
    <col min="7" max="7" width="12.28125" style="0" customWidth="1"/>
    <col min="8" max="8" width="14.7109375" style="0" customWidth="1"/>
    <col min="9" max="9" width="15.7109375" style="0" customWidth="1"/>
    <col min="10" max="10" width="12.28125" style="0" bestFit="1" customWidth="1"/>
  </cols>
  <sheetData>
    <row r="1" spans="1:10" ht="12.75">
      <c r="A1" s="434" t="s">
        <v>127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2" ht="12.75">
      <c r="A2" s="3"/>
      <c r="B2" s="3"/>
    </row>
    <row r="3" spans="1:10" ht="12.75">
      <c r="A3" s="441" t="s">
        <v>260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3.5" thickBot="1">
      <c r="A4" s="3"/>
      <c r="B4" s="3"/>
      <c r="C4" s="3"/>
      <c r="D4" s="3"/>
      <c r="E4" s="3"/>
      <c r="F4" s="3"/>
      <c r="G4" s="3"/>
      <c r="H4" s="3"/>
      <c r="I4" s="11"/>
      <c r="J4" s="3"/>
    </row>
    <row r="5" spans="1:9" ht="15" customHeight="1" thickTop="1">
      <c r="A5" s="6"/>
      <c r="B5" s="109"/>
      <c r="C5" s="421"/>
      <c r="D5" s="421"/>
      <c r="E5" s="421"/>
      <c r="F5" s="421"/>
      <c r="G5" s="421"/>
      <c r="H5" s="421"/>
      <c r="I5" s="187"/>
    </row>
    <row r="6" spans="1:9" ht="12.75">
      <c r="A6" s="3"/>
      <c r="B6" s="3"/>
      <c r="C6" s="4"/>
      <c r="D6" s="70" t="s">
        <v>229</v>
      </c>
      <c r="E6" s="197" t="s">
        <v>206</v>
      </c>
      <c r="F6" s="4"/>
      <c r="H6" s="439" t="s">
        <v>228</v>
      </c>
      <c r="I6" s="440" t="s">
        <v>227</v>
      </c>
    </row>
    <row r="7" spans="1:9" ht="12.75" customHeight="1">
      <c r="A7" s="3" t="s">
        <v>83</v>
      </c>
      <c r="B7" s="442" t="s">
        <v>164</v>
      </c>
      <c r="C7" s="70" t="s">
        <v>148</v>
      </c>
      <c r="D7" s="70" t="s">
        <v>67</v>
      </c>
      <c r="E7" s="415" t="s">
        <v>207</v>
      </c>
      <c r="F7" s="4" t="s">
        <v>149</v>
      </c>
      <c r="G7" s="70" t="s">
        <v>208</v>
      </c>
      <c r="H7" s="414"/>
      <c r="I7" s="414"/>
    </row>
    <row r="8" spans="1:9" ht="12.75">
      <c r="A8" s="3" t="s">
        <v>35</v>
      </c>
      <c r="B8" s="443"/>
      <c r="C8" s="70" t="s">
        <v>26</v>
      </c>
      <c r="D8" s="70" t="s">
        <v>68</v>
      </c>
      <c r="E8" s="415"/>
      <c r="F8" s="4" t="s">
        <v>145</v>
      </c>
      <c r="G8" s="4" t="s">
        <v>209</v>
      </c>
      <c r="H8" s="414"/>
      <c r="I8" s="414"/>
    </row>
    <row r="9" spans="1:9" ht="13.5" thickBot="1">
      <c r="A9" s="7" t="s">
        <v>141</v>
      </c>
      <c r="B9" s="444"/>
      <c r="C9" s="75" t="s">
        <v>70</v>
      </c>
      <c r="D9" s="75" t="s">
        <v>69</v>
      </c>
      <c r="E9" s="416"/>
      <c r="F9" s="8" t="s">
        <v>35</v>
      </c>
      <c r="G9" s="8"/>
      <c r="H9" s="416"/>
      <c r="I9" s="416"/>
    </row>
    <row r="10" spans="1:10" s="47" customFormat="1" ht="12.75">
      <c r="A10" s="51" t="s">
        <v>0</v>
      </c>
      <c r="B10" s="63">
        <f aca="true" t="shared" si="0" ref="B10:I10">SUM(B12:B39)</f>
        <v>471821.51999999996</v>
      </c>
      <c r="C10" s="63">
        <f t="shared" si="0"/>
        <v>4452286.569999999</v>
      </c>
      <c r="D10" s="63">
        <f t="shared" si="0"/>
        <v>1707286.6500000001</v>
      </c>
      <c r="E10" s="63">
        <f t="shared" si="0"/>
        <v>1456572.2000000002</v>
      </c>
      <c r="F10" s="63">
        <f t="shared" si="0"/>
        <v>53606.92999999999</v>
      </c>
      <c r="G10" s="63">
        <f t="shared" si="0"/>
        <v>11746675.220000003</v>
      </c>
      <c r="H10" s="63">
        <f t="shared" si="0"/>
        <v>646679.08</v>
      </c>
      <c r="I10" s="63">
        <f t="shared" si="0"/>
        <v>80209.01000000001</v>
      </c>
      <c r="J10"/>
    </row>
    <row r="11" spans="1:9" ht="12.75">
      <c r="A11" s="3"/>
      <c r="B11" s="3"/>
      <c r="C11" s="91"/>
      <c r="D11" s="91"/>
      <c r="E11" s="65"/>
      <c r="F11" s="91"/>
      <c r="G11" s="91"/>
      <c r="H11" s="91"/>
      <c r="I11" s="91"/>
    </row>
    <row r="12" spans="1:10" ht="12.75">
      <c r="A12" s="3" t="s">
        <v>1</v>
      </c>
      <c r="B12" s="101">
        <v>23023.27</v>
      </c>
      <c r="C12" s="101">
        <v>39033.18</v>
      </c>
      <c r="D12" s="360">
        <v>22763.37</v>
      </c>
      <c r="E12" s="101">
        <v>0</v>
      </c>
      <c r="F12" s="101">
        <v>0</v>
      </c>
      <c r="G12" s="101">
        <v>335037.02</v>
      </c>
      <c r="H12" s="337">
        <v>0</v>
      </c>
      <c r="I12" s="337">
        <v>0</v>
      </c>
      <c r="J12" s="110"/>
    </row>
    <row r="13" spans="1:10" ht="12.75">
      <c r="A13" s="3" t="s">
        <v>2</v>
      </c>
      <c r="B13" s="101">
        <v>69332.07</v>
      </c>
      <c r="C13" s="101">
        <v>88986.84</v>
      </c>
      <c r="D13" s="360">
        <v>79229</v>
      </c>
      <c r="E13" s="101">
        <v>0</v>
      </c>
      <c r="F13" s="101">
        <v>0</v>
      </c>
      <c r="G13" s="101">
        <v>0</v>
      </c>
      <c r="H13" s="337">
        <v>0</v>
      </c>
      <c r="I13" s="337">
        <v>0</v>
      </c>
      <c r="J13" s="110"/>
    </row>
    <row r="14" spans="1:10" ht="12.75">
      <c r="A14" s="3" t="s">
        <v>3</v>
      </c>
      <c r="B14" s="337">
        <v>0</v>
      </c>
      <c r="C14" s="101">
        <v>435102.64</v>
      </c>
      <c r="D14" s="360">
        <v>334219.49</v>
      </c>
      <c r="E14" s="101">
        <v>0</v>
      </c>
      <c r="F14" s="100">
        <v>37460.56</v>
      </c>
      <c r="G14" s="100">
        <v>4816600.44</v>
      </c>
      <c r="H14" s="101">
        <v>0</v>
      </c>
      <c r="I14" s="337">
        <v>0</v>
      </c>
      <c r="J14" s="110"/>
    </row>
    <row r="15" spans="1:10" ht="12.75">
      <c r="A15" s="3" t="s">
        <v>4</v>
      </c>
      <c r="B15" s="101">
        <v>0</v>
      </c>
      <c r="C15" s="101">
        <v>1141663.56</v>
      </c>
      <c r="D15" s="360">
        <v>157255.18</v>
      </c>
      <c r="E15" s="101">
        <v>0</v>
      </c>
      <c r="F15" s="101">
        <v>0</v>
      </c>
      <c r="G15" s="101">
        <v>1613192.78</v>
      </c>
      <c r="H15" s="101">
        <v>0</v>
      </c>
      <c r="I15" s="101">
        <v>7172.86</v>
      </c>
      <c r="J15" s="110"/>
    </row>
    <row r="16" spans="1:10" ht="12.75">
      <c r="A16" s="3" t="s">
        <v>5</v>
      </c>
      <c r="B16" s="101">
        <v>0</v>
      </c>
      <c r="C16" s="337">
        <v>12782</v>
      </c>
      <c r="D16" s="360">
        <v>18657.27</v>
      </c>
      <c r="E16" s="101">
        <v>0</v>
      </c>
      <c r="F16" s="101">
        <v>0</v>
      </c>
      <c r="G16" s="101">
        <v>0</v>
      </c>
      <c r="H16" s="101">
        <v>58070.08</v>
      </c>
      <c r="I16" s="337">
        <v>7177.33</v>
      </c>
      <c r="J16" s="110"/>
    </row>
    <row r="17" spans="1:10" ht="12.75">
      <c r="A17" s="3"/>
      <c r="B17" s="101"/>
      <c r="C17" s="100"/>
      <c r="D17" s="360"/>
      <c r="E17" s="101"/>
      <c r="F17" s="101"/>
      <c r="G17" s="101"/>
      <c r="H17" s="101"/>
      <c r="I17" s="101"/>
      <c r="J17" s="110"/>
    </row>
    <row r="18" spans="1:10" ht="12.75">
      <c r="A18" s="3" t="s">
        <v>6</v>
      </c>
      <c r="B18" s="101">
        <v>147332.63</v>
      </c>
      <c r="C18" s="337">
        <v>50062.65</v>
      </c>
      <c r="D18" s="360">
        <v>11896</v>
      </c>
      <c r="E18" s="101">
        <v>0</v>
      </c>
      <c r="F18" s="101">
        <v>0</v>
      </c>
      <c r="G18" s="101">
        <v>0</v>
      </c>
      <c r="H18" s="101">
        <v>0</v>
      </c>
      <c r="I18" s="337">
        <v>0</v>
      </c>
      <c r="J18" s="110"/>
    </row>
    <row r="19" spans="1:10" ht="12.75">
      <c r="A19" s="3" t="s">
        <v>7</v>
      </c>
      <c r="B19" s="101">
        <v>0</v>
      </c>
      <c r="C19" s="101">
        <v>17388.67</v>
      </c>
      <c r="D19" s="360">
        <v>43579.5</v>
      </c>
      <c r="E19" s="101">
        <v>0</v>
      </c>
      <c r="F19" s="101">
        <v>0</v>
      </c>
      <c r="G19" s="101">
        <v>0</v>
      </c>
      <c r="H19" s="101">
        <v>0</v>
      </c>
      <c r="I19" s="337">
        <v>0</v>
      </c>
      <c r="J19" s="110"/>
    </row>
    <row r="20" spans="1:10" ht="12.75">
      <c r="A20" s="3" t="s">
        <v>8</v>
      </c>
      <c r="B20" s="101">
        <v>0</v>
      </c>
      <c r="C20" s="101">
        <v>41966.4</v>
      </c>
      <c r="D20" s="360">
        <v>28794.63</v>
      </c>
      <c r="E20" s="101">
        <v>0</v>
      </c>
      <c r="F20" s="101">
        <v>0</v>
      </c>
      <c r="G20" s="101">
        <v>0</v>
      </c>
      <c r="H20" s="101">
        <v>0</v>
      </c>
      <c r="I20" s="337">
        <v>0</v>
      </c>
      <c r="J20" s="110"/>
    </row>
    <row r="21" spans="1:10" ht="12.75">
      <c r="A21" s="3" t="s">
        <v>9</v>
      </c>
      <c r="B21" s="101">
        <v>0</v>
      </c>
      <c r="C21" s="101">
        <v>22343.62</v>
      </c>
      <c r="D21" s="360">
        <v>147511.77</v>
      </c>
      <c r="E21" s="101">
        <v>0</v>
      </c>
      <c r="F21" s="100">
        <v>791.67</v>
      </c>
      <c r="G21" s="100">
        <v>0</v>
      </c>
      <c r="H21" s="101">
        <v>0</v>
      </c>
      <c r="I21" s="337">
        <v>0</v>
      </c>
      <c r="J21" s="110"/>
    </row>
    <row r="22" spans="1:10" ht="12.75">
      <c r="A22" s="3" t="s">
        <v>10</v>
      </c>
      <c r="B22" s="101">
        <v>0</v>
      </c>
      <c r="C22" s="101">
        <v>103769.98</v>
      </c>
      <c r="D22" s="360">
        <v>16078.31</v>
      </c>
      <c r="E22" s="101">
        <v>0</v>
      </c>
      <c r="F22" s="101">
        <v>0</v>
      </c>
      <c r="G22" s="101">
        <v>660590.26</v>
      </c>
      <c r="H22" s="101">
        <v>0</v>
      </c>
      <c r="I22" s="337">
        <v>11575.16</v>
      </c>
      <c r="J22" s="110"/>
    </row>
    <row r="23" spans="1:10" ht="12.75">
      <c r="A23" s="3"/>
      <c r="B23" s="101"/>
      <c r="C23" s="101"/>
      <c r="D23" s="360"/>
      <c r="E23" s="101"/>
      <c r="F23" s="101"/>
      <c r="G23" s="101"/>
      <c r="H23" s="101"/>
      <c r="I23" s="101"/>
      <c r="J23" s="110"/>
    </row>
    <row r="24" spans="1:10" ht="12.75">
      <c r="A24" s="3" t="s">
        <v>11</v>
      </c>
      <c r="B24" s="101">
        <v>0</v>
      </c>
      <c r="C24" s="101">
        <v>33436.53</v>
      </c>
      <c r="D24" s="360">
        <v>41689</v>
      </c>
      <c r="E24" s="101">
        <v>0</v>
      </c>
      <c r="F24" s="101">
        <v>0</v>
      </c>
      <c r="G24" s="101">
        <v>0</v>
      </c>
      <c r="H24" s="101">
        <v>0</v>
      </c>
      <c r="I24" s="337">
        <v>0</v>
      </c>
      <c r="J24" s="110"/>
    </row>
    <row r="25" spans="1:10" ht="12.75">
      <c r="A25" s="3" t="s">
        <v>12</v>
      </c>
      <c r="B25" s="101">
        <v>0</v>
      </c>
      <c r="C25" s="101">
        <v>61288.03</v>
      </c>
      <c r="D25" s="360">
        <v>9361</v>
      </c>
      <c r="E25" s="101">
        <v>0</v>
      </c>
      <c r="F25" s="101">
        <v>0</v>
      </c>
      <c r="G25" s="101">
        <v>499008.96</v>
      </c>
      <c r="H25" s="101">
        <v>0</v>
      </c>
      <c r="I25" s="337">
        <v>0</v>
      </c>
      <c r="J25" s="110"/>
    </row>
    <row r="26" spans="1:10" ht="12.75">
      <c r="A26" s="3" t="s">
        <v>13</v>
      </c>
      <c r="B26" s="101">
        <v>120796.53</v>
      </c>
      <c r="C26" s="101">
        <v>56509.51</v>
      </c>
      <c r="D26" s="360">
        <v>40737.48</v>
      </c>
      <c r="E26" s="101">
        <v>0</v>
      </c>
      <c r="F26" s="101">
        <v>0</v>
      </c>
      <c r="G26" s="101">
        <v>0</v>
      </c>
      <c r="H26" s="101">
        <v>0</v>
      </c>
      <c r="I26" s="337">
        <v>0</v>
      </c>
      <c r="J26" s="110"/>
    </row>
    <row r="27" spans="1:10" ht="12.75">
      <c r="A27" s="3" t="s">
        <v>14</v>
      </c>
      <c r="B27" s="101">
        <v>0</v>
      </c>
      <c r="C27" s="101">
        <v>11368.64</v>
      </c>
      <c r="D27" s="360">
        <v>217615.04</v>
      </c>
      <c r="E27" s="337">
        <v>103487.91</v>
      </c>
      <c r="F27" s="101">
        <v>0</v>
      </c>
      <c r="G27" s="101">
        <v>0</v>
      </c>
      <c r="H27" s="101">
        <v>0</v>
      </c>
      <c r="I27" s="337">
        <v>0</v>
      </c>
      <c r="J27" s="110"/>
    </row>
    <row r="28" spans="1:10" ht="12.75">
      <c r="A28" s="3" t="s">
        <v>15</v>
      </c>
      <c r="B28" s="101">
        <v>0</v>
      </c>
      <c r="C28" s="101">
        <v>86338.4</v>
      </c>
      <c r="D28" s="360">
        <v>5146</v>
      </c>
      <c r="E28" s="101">
        <v>0</v>
      </c>
      <c r="F28" s="101">
        <v>0</v>
      </c>
      <c r="G28" s="101">
        <v>0</v>
      </c>
      <c r="H28" s="101">
        <v>0</v>
      </c>
      <c r="I28" s="337">
        <v>0</v>
      </c>
      <c r="J28" s="110"/>
    </row>
    <row r="29" spans="1:10" ht="12.75">
      <c r="A29" s="3"/>
      <c r="B29" s="101"/>
      <c r="C29" s="101"/>
      <c r="D29" s="360"/>
      <c r="E29" s="101"/>
      <c r="F29" s="101"/>
      <c r="G29" s="101"/>
      <c r="H29" s="101"/>
      <c r="I29" s="101"/>
      <c r="J29" s="110"/>
    </row>
    <row r="30" spans="1:10" ht="12.75">
      <c r="A30" s="3" t="s">
        <v>16</v>
      </c>
      <c r="B30" s="101">
        <v>0</v>
      </c>
      <c r="C30" s="101">
        <v>1319396.83</v>
      </c>
      <c r="D30" s="360">
        <v>205148.62</v>
      </c>
      <c r="E30" s="101">
        <v>0</v>
      </c>
      <c r="F30" s="100">
        <v>15354.7</v>
      </c>
      <c r="G30" s="100">
        <v>1561632.87</v>
      </c>
      <c r="H30" s="101">
        <v>0</v>
      </c>
      <c r="I30" s="337">
        <v>0</v>
      </c>
      <c r="J30" s="110"/>
    </row>
    <row r="31" spans="1:10" ht="12.75">
      <c r="A31" s="3" t="s">
        <v>17</v>
      </c>
      <c r="B31" s="101">
        <v>0</v>
      </c>
      <c r="C31" s="101">
        <v>321325.38</v>
      </c>
      <c r="D31" s="360">
        <v>232056.16</v>
      </c>
      <c r="E31" s="101">
        <v>0</v>
      </c>
      <c r="F31" s="100">
        <v>0</v>
      </c>
      <c r="G31" s="100">
        <v>1900937.97</v>
      </c>
      <c r="H31" s="101">
        <v>0</v>
      </c>
      <c r="I31" s="337">
        <v>0</v>
      </c>
      <c r="J31" s="110"/>
    </row>
    <row r="32" spans="1:10" ht="12.75">
      <c r="A32" s="3" t="s">
        <v>18</v>
      </c>
      <c r="B32" s="101">
        <v>0</v>
      </c>
      <c r="C32" s="101">
        <v>6570.98</v>
      </c>
      <c r="D32" s="360">
        <v>6280.38</v>
      </c>
      <c r="E32" s="101">
        <v>0</v>
      </c>
      <c r="F32" s="101">
        <v>0</v>
      </c>
      <c r="G32" s="101">
        <v>0</v>
      </c>
      <c r="H32" s="101">
        <v>0</v>
      </c>
      <c r="I32" s="337">
        <v>0</v>
      </c>
      <c r="J32" s="110"/>
    </row>
    <row r="33" spans="1:10" ht="12.75">
      <c r="A33" s="3" t="s">
        <v>19</v>
      </c>
      <c r="B33" s="101">
        <v>0</v>
      </c>
      <c r="C33" s="101">
        <v>13645.4</v>
      </c>
      <c r="D33" s="360">
        <v>18504.84</v>
      </c>
      <c r="E33" s="101">
        <v>0</v>
      </c>
      <c r="F33" s="101">
        <v>0</v>
      </c>
      <c r="G33" s="101">
        <v>0</v>
      </c>
      <c r="H33" s="101">
        <v>0</v>
      </c>
      <c r="I33" s="101">
        <v>54283.66</v>
      </c>
      <c r="J33" s="110"/>
    </row>
    <row r="34" spans="1:10" ht="12.75">
      <c r="A34" s="3" t="s">
        <v>20</v>
      </c>
      <c r="B34" s="101">
        <v>42391.6</v>
      </c>
      <c r="C34" s="101">
        <v>106709.27</v>
      </c>
      <c r="D34" s="360">
        <v>7182.42</v>
      </c>
      <c r="E34" s="101">
        <v>0</v>
      </c>
      <c r="F34" s="101">
        <v>0</v>
      </c>
      <c r="G34" s="101">
        <v>359674.92</v>
      </c>
      <c r="H34" s="101">
        <v>0</v>
      </c>
      <c r="I34" s="337">
        <v>0</v>
      </c>
      <c r="J34" s="110"/>
    </row>
    <row r="35" spans="1:10" ht="12.75">
      <c r="A35" s="3"/>
      <c r="B35" s="101"/>
      <c r="C35" s="101"/>
      <c r="D35" s="360"/>
      <c r="E35" s="101"/>
      <c r="F35" s="101"/>
      <c r="G35" s="101"/>
      <c r="H35" s="101"/>
      <c r="I35" s="101"/>
      <c r="J35" s="110"/>
    </row>
    <row r="36" spans="1:10" ht="12.75">
      <c r="A36" s="3" t="s">
        <v>21</v>
      </c>
      <c r="B36" s="101">
        <v>0</v>
      </c>
      <c r="C36" s="101">
        <v>237608.23</v>
      </c>
      <c r="D36" s="360">
        <v>15612.56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10"/>
    </row>
    <row r="37" spans="1:10" ht="12.75">
      <c r="A37" s="3" t="s">
        <v>22</v>
      </c>
      <c r="B37" s="101">
        <v>68945.42</v>
      </c>
      <c r="C37" s="101">
        <v>64315.72</v>
      </c>
      <c r="D37" s="360">
        <v>13954.74</v>
      </c>
      <c r="E37" s="101">
        <v>380990.19</v>
      </c>
      <c r="F37" s="101">
        <v>0</v>
      </c>
      <c r="G37" s="101">
        <v>0</v>
      </c>
      <c r="H37" s="101">
        <v>588609</v>
      </c>
      <c r="I37" s="101">
        <v>0</v>
      </c>
      <c r="J37" s="110"/>
    </row>
    <row r="38" spans="1:10" ht="12.75">
      <c r="A38" s="3" t="s">
        <v>23</v>
      </c>
      <c r="B38" s="101">
        <v>0</v>
      </c>
      <c r="C38" s="101">
        <v>144757.55</v>
      </c>
      <c r="D38" s="360">
        <v>21918.05</v>
      </c>
      <c r="E38" s="101">
        <v>439490.46</v>
      </c>
      <c r="F38" s="101">
        <v>0</v>
      </c>
      <c r="G38" s="101">
        <v>0</v>
      </c>
      <c r="H38" s="101">
        <v>0</v>
      </c>
      <c r="I38" s="101">
        <v>0</v>
      </c>
      <c r="J38" s="110"/>
    </row>
    <row r="39" spans="1:10" ht="12.75">
      <c r="A39" s="12" t="s">
        <v>24</v>
      </c>
      <c r="B39" s="339">
        <v>0</v>
      </c>
      <c r="C39" s="339">
        <v>35916.56</v>
      </c>
      <c r="D39" s="361">
        <v>12095.84</v>
      </c>
      <c r="E39" s="339">
        <v>532603.64</v>
      </c>
      <c r="F39" s="339">
        <v>0</v>
      </c>
      <c r="G39" s="362">
        <v>0</v>
      </c>
      <c r="H39" s="339">
        <v>0</v>
      </c>
      <c r="I39" s="339">
        <v>0</v>
      </c>
      <c r="J39" s="101"/>
    </row>
    <row r="40" spans="1:10" ht="12.75">
      <c r="A40" s="3"/>
      <c r="B40" s="3"/>
      <c r="C40" s="15"/>
      <c r="D40" s="15"/>
      <c r="E40" s="15"/>
      <c r="F40" s="15"/>
      <c r="G40" s="195"/>
      <c r="H40" s="15"/>
      <c r="I40" s="15"/>
      <c r="J40" s="15"/>
    </row>
    <row r="41" spans="1:10" ht="12.75">
      <c r="A41" s="3"/>
      <c r="B41" s="3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3"/>
      <c r="B42" s="3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3"/>
      <c r="B43" s="3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3"/>
      <c r="B44" s="3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3"/>
      <c r="B45" s="3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3"/>
      <c r="B46" s="3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3"/>
      <c r="B47" s="3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3"/>
      <c r="B48" s="3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3"/>
      <c r="B49" s="3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3"/>
      <c r="B50" s="3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3"/>
      <c r="B51" s="3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3"/>
      <c r="B52" s="3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3"/>
      <c r="B53" s="3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3"/>
      <c r="B54" s="3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3"/>
      <c r="B55" s="3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3"/>
      <c r="B56" s="3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3"/>
      <c r="B57" s="3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3"/>
      <c r="B58" s="3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3"/>
      <c r="B59" s="3"/>
      <c r="C59" s="15"/>
      <c r="D59" s="15"/>
      <c r="E59" s="15"/>
      <c r="F59" s="15"/>
      <c r="G59" s="15"/>
      <c r="H59" s="15"/>
      <c r="I59" s="15"/>
      <c r="J59" s="15"/>
    </row>
    <row r="60" spans="1:9" ht="12.75">
      <c r="A60" s="3"/>
      <c r="B60" s="3"/>
      <c r="C60" s="15"/>
      <c r="D60" s="15"/>
      <c r="E60" s="15"/>
      <c r="F60" s="15"/>
      <c r="G60" s="15"/>
      <c r="H60" s="15"/>
      <c r="I60" s="15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</sheetData>
  <sheetProtection password="CAF5" sheet="1"/>
  <mergeCells count="7">
    <mergeCell ref="H6:H9"/>
    <mergeCell ref="I6:I9"/>
    <mergeCell ref="A1:J1"/>
    <mergeCell ref="A3:J3"/>
    <mergeCell ref="C5:H5"/>
    <mergeCell ref="E7:E9"/>
    <mergeCell ref="B7:B9"/>
  </mergeCells>
  <printOptions horizontalCentered="1"/>
  <pageMargins left="0.87" right="0.32" top="0.83" bottom="1" header="0.67" footer="0.5"/>
  <pageSetup fitToHeight="1" fitToWidth="1" horizontalDpi="600" verticalDpi="600" orientation="landscape" scale="96" r:id="rId1"/>
  <headerFooter alignWithMargins="0">
    <oddHeader>&amp;R
</oddHeader>
    <oddFooter>&amp;L&amp;"Arial,Italic"&amp;9MSDE-DBS  10 / 2009&amp;C- 13 -&amp;R&amp;"Arial,Italic"&amp;9Selected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Layout" workbookViewId="0" topLeftCell="A1">
      <selection activeCell="C10" sqref="C10"/>
    </sheetView>
  </sheetViews>
  <sheetFormatPr defaultColWidth="9.140625" defaultRowHeight="12.75"/>
  <cols>
    <col min="1" max="3" width="14.421875" style="0" customWidth="1"/>
    <col min="4" max="4" width="13.8515625" style="0" bestFit="1" customWidth="1"/>
    <col min="5" max="5" width="14.8515625" style="0" bestFit="1" customWidth="1"/>
    <col min="6" max="6" width="13.8515625" style="0" bestFit="1" customWidth="1"/>
    <col min="7" max="7" width="13.8515625" style="0" customWidth="1"/>
    <col min="8" max="8" width="11.421875" style="0" customWidth="1"/>
    <col min="9" max="9" width="13.8515625" style="0" bestFit="1" customWidth="1"/>
    <col min="10" max="10" width="13.8515625" style="0" customWidth="1"/>
    <col min="11" max="11" width="13.8515625" style="0" bestFit="1" customWidth="1"/>
    <col min="12" max="12" width="16.28125" style="0" customWidth="1"/>
  </cols>
  <sheetData>
    <row r="1" spans="1:11" ht="12.75">
      <c r="A1" s="434" t="s">
        <v>127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3" ht="12.75">
      <c r="A2" s="3"/>
      <c r="B2" s="3"/>
      <c r="C2" s="3"/>
    </row>
    <row r="3" spans="1:11" ht="12.75">
      <c r="A3" s="434" t="s">
        <v>260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</row>
    <row r="4" spans="1:10" ht="13.5" thickBot="1">
      <c r="A4" s="3"/>
      <c r="B4" s="3"/>
      <c r="C4" s="3"/>
      <c r="D4" s="3"/>
      <c r="E4" s="11"/>
      <c r="F4" s="11"/>
      <c r="G4" s="11"/>
      <c r="H4" s="11"/>
      <c r="I4" s="11"/>
      <c r="J4" s="11"/>
    </row>
    <row r="5" spans="1:11" ht="15" customHeight="1" thickTop="1">
      <c r="A5" s="6"/>
      <c r="B5" s="421" t="s">
        <v>80</v>
      </c>
      <c r="C5" s="421"/>
      <c r="D5" s="6"/>
      <c r="E5" s="421" t="s">
        <v>72</v>
      </c>
      <c r="F5" s="421"/>
      <c r="G5" s="421"/>
      <c r="H5" s="4"/>
      <c r="I5" s="445" t="s">
        <v>204</v>
      </c>
      <c r="J5" s="4"/>
      <c r="K5" s="6"/>
    </row>
    <row r="6" spans="1:11" ht="12.75">
      <c r="A6" s="3"/>
      <c r="B6" s="70" t="s">
        <v>77</v>
      </c>
      <c r="C6" s="64"/>
      <c r="D6" s="3"/>
      <c r="G6" s="88" t="s">
        <v>151</v>
      </c>
      <c r="I6" s="403"/>
      <c r="J6" s="70" t="s">
        <v>156</v>
      </c>
      <c r="K6" s="443" t="s">
        <v>210</v>
      </c>
    </row>
    <row r="7" spans="1:11" ht="12.75">
      <c r="A7" s="3" t="s">
        <v>83</v>
      </c>
      <c r="B7" s="70" t="s">
        <v>36</v>
      </c>
      <c r="C7" s="70" t="s">
        <v>78</v>
      </c>
      <c r="D7" s="414" t="s">
        <v>215</v>
      </c>
      <c r="F7" s="4"/>
      <c r="G7" s="70" t="s">
        <v>128</v>
      </c>
      <c r="H7" s="4" t="s">
        <v>46</v>
      </c>
      <c r="I7" s="403"/>
      <c r="J7" s="70" t="s">
        <v>33</v>
      </c>
      <c r="K7" s="415"/>
    </row>
    <row r="8" spans="1:11" ht="12.75">
      <c r="A8" s="3" t="s">
        <v>35</v>
      </c>
      <c r="B8" s="70" t="s">
        <v>82</v>
      </c>
      <c r="C8" s="70" t="s">
        <v>155</v>
      </c>
      <c r="D8" s="415"/>
      <c r="E8" s="95" t="s">
        <v>150</v>
      </c>
      <c r="F8" s="70" t="s">
        <v>150</v>
      </c>
      <c r="G8" s="70" t="s">
        <v>33</v>
      </c>
      <c r="H8" s="70" t="s">
        <v>64</v>
      </c>
      <c r="I8" s="403"/>
      <c r="J8" s="70" t="s">
        <v>137</v>
      </c>
      <c r="K8" s="415"/>
    </row>
    <row r="9" spans="1:11" ht="13.5" thickBot="1">
      <c r="A9" s="7" t="s">
        <v>141</v>
      </c>
      <c r="B9" s="75" t="s">
        <v>76</v>
      </c>
      <c r="C9" s="75" t="s">
        <v>79</v>
      </c>
      <c r="D9" s="416"/>
      <c r="E9" s="96" t="s">
        <v>157</v>
      </c>
      <c r="F9" s="75" t="s">
        <v>56</v>
      </c>
      <c r="G9" s="75" t="s">
        <v>129</v>
      </c>
      <c r="H9" s="75" t="s">
        <v>146</v>
      </c>
      <c r="I9" s="404"/>
      <c r="J9" s="75" t="s">
        <v>57</v>
      </c>
      <c r="K9" s="416"/>
    </row>
    <row r="10" spans="1:11" s="47" customFormat="1" ht="12.75">
      <c r="A10" s="51" t="s">
        <v>0</v>
      </c>
      <c r="B10" s="63">
        <f>SUM(B12:B39)</f>
        <v>128967741.82999997</v>
      </c>
      <c r="C10" s="63">
        <f>SUM(C12:C39)</f>
        <v>13384099.93</v>
      </c>
      <c r="D10" s="63">
        <f>SUM(D12:D39)</f>
        <v>8895993.82</v>
      </c>
      <c r="E10" s="63">
        <f aca="true" t="shared" si="0" ref="E10:K10">SUM(E12:E39)</f>
        <v>174622030.20000002</v>
      </c>
      <c r="F10" s="63">
        <f t="shared" si="0"/>
        <v>6322857.349999999</v>
      </c>
      <c r="G10" s="63">
        <f t="shared" si="0"/>
        <v>2672736.17</v>
      </c>
      <c r="H10" s="63">
        <f t="shared" si="0"/>
        <v>117663.60999999999</v>
      </c>
      <c r="I10" s="63">
        <f t="shared" si="0"/>
        <v>39030701.480000004</v>
      </c>
      <c r="J10" s="63">
        <f t="shared" si="0"/>
        <v>228069.68</v>
      </c>
      <c r="K10" s="63">
        <f t="shared" si="0"/>
        <v>457046.87</v>
      </c>
    </row>
    <row r="11" spans="1:11" ht="12.75">
      <c r="A11" s="3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2" ht="12.75">
      <c r="A12" s="3" t="s">
        <v>1</v>
      </c>
      <c r="B12" s="363">
        <v>2329249.1</v>
      </c>
      <c r="C12" s="363">
        <v>279005.21</v>
      </c>
      <c r="D12" s="73">
        <v>0</v>
      </c>
      <c r="E12" s="73">
        <v>2549861.57</v>
      </c>
      <c r="F12" s="73">
        <v>133406.98</v>
      </c>
      <c r="G12" s="73">
        <v>124919</v>
      </c>
      <c r="H12" s="73">
        <v>0</v>
      </c>
      <c r="I12" s="73">
        <v>695944.75</v>
      </c>
      <c r="J12" s="73">
        <v>0</v>
      </c>
      <c r="K12" s="73">
        <v>0</v>
      </c>
      <c r="L12" s="34"/>
    </row>
    <row r="13" spans="1:12" ht="12.75">
      <c r="A13" s="3" t="s">
        <v>2</v>
      </c>
      <c r="B13" s="363">
        <v>6668693</v>
      </c>
      <c r="C13" s="363">
        <v>1224001</v>
      </c>
      <c r="D13" s="73">
        <v>2266926</v>
      </c>
      <c r="E13" s="73">
        <v>15160079.09</v>
      </c>
      <c r="F13" s="73">
        <v>571775.09</v>
      </c>
      <c r="G13" s="73">
        <v>577517.7</v>
      </c>
      <c r="H13" s="73">
        <v>108709.93</v>
      </c>
      <c r="I13" s="68">
        <v>2423049.01</v>
      </c>
      <c r="J13" s="73">
        <v>0</v>
      </c>
      <c r="K13" s="73">
        <v>0</v>
      </c>
      <c r="L13" s="34"/>
    </row>
    <row r="14" spans="1:12" ht="12.75">
      <c r="A14" s="3" t="s">
        <v>3</v>
      </c>
      <c r="B14" s="363">
        <v>24552616.22</v>
      </c>
      <c r="C14" s="73">
        <v>0</v>
      </c>
      <c r="D14" s="73">
        <v>603203.66</v>
      </c>
      <c r="E14" s="73">
        <v>24802846.57</v>
      </c>
      <c r="F14" s="73">
        <v>1042897.98</v>
      </c>
      <c r="G14" s="92">
        <v>0</v>
      </c>
      <c r="H14" s="73">
        <v>8953.68</v>
      </c>
      <c r="I14" s="68">
        <v>8753112.41</v>
      </c>
      <c r="J14" s="73">
        <v>0</v>
      </c>
      <c r="K14" s="73">
        <v>0</v>
      </c>
      <c r="L14" s="34"/>
    </row>
    <row r="15" spans="1:12" ht="12.75">
      <c r="A15" s="3" t="s">
        <v>4</v>
      </c>
      <c r="B15" s="363">
        <v>15680933</v>
      </c>
      <c r="C15" s="363">
        <v>1725252</v>
      </c>
      <c r="D15" s="92">
        <v>1795220</v>
      </c>
      <c r="E15" s="73">
        <v>23272110.05</v>
      </c>
      <c r="F15" s="73">
        <v>846055.21</v>
      </c>
      <c r="G15" s="73">
        <v>507112</v>
      </c>
      <c r="H15" s="73">
        <v>0</v>
      </c>
      <c r="I15" s="73">
        <v>2531132.62</v>
      </c>
      <c r="J15" s="73">
        <v>203580.54</v>
      </c>
      <c r="K15" s="73">
        <v>457046.87</v>
      </c>
      <c r="L15" s="34"/>
    </row>
    <row r="16" spans="1:12" ht="12.75">
      <c r="A16" s="3" t="s">
        <v>5</v>
      </c>
      <c r="B16" s="363">
        <v>1008534.05</v>
      </c>
      <c r="C16" s="363">
        <v>212000</v>
      </c>
      <c r="D16" s="73">
        <v>211097.66</v>
      </c>
      <c r="E16" s="73">
        <v>2925794.5</v>
      </c>
      <c r="F16" s="73">
        <v>149572.44</v>
      </c>
      <c r="G16" s="73">
        <v>80694.25</v>
      </c>
      <c r="H16" s="92">
        <v>0</v>
      </c>
      <c r="I16" s="73">
        <v>496870.01</v>
      </c>
      <c r="J16" s="73">
        <v>0</v>
      </c>
      <c r="K16" s="73">
        <v>0</v>
      </c>
      <c r="L16" s="34"/>
    </row>
    <row r="17" spans="1:12" ht="12.75">
      <c r="A17" s="3"/>
      <c r="B17" s="363"/>
      <c r="C17" s="363"/>
      <c r="D17" s="73"/>
      <c r="E17" s="73"/>
      <c r="F17" s="73"/>
      <c r="G17" s="73"/>
      <c r="H17" s="73"/>
      <c r="I17" s="73"/>
      <c r="J17" s="73"/>
      <c r="K17" s="73"/>
      <c r="L17" s="34"/>
    </row>
    <row r="18" spans="1:12" ht="12.75">
      <c r="A18" s="3" t="s">
        <v>6</v>
      </c>
      <c r="B18" s="363">
        <v>1115783.05</v>
      </c>
      <c r="C18" s="73">
        <v>0</v>
      </c>
      <c r="D18" s="73">
        <v>0</v>
      </c>
      <c r="E18" s="73">
        <v>1229599.08</v>
      </c>
      <c r="F18" s="73">
        <v>66150</v>
      </c>
      <c r="G18" s="73">
        <v>64374.59</v>
      </c>
      <c r="H18" s="73">
        <v>0</v>
      </c>
      <c r="I18" s="73">
        <v>327541.03</v>
      </c>
      <c r="J18" s="73">
        <v>0</v>
      </c>
      <c r="K18" s="73">
        <v>0</v>
      </c>
      <c r="L18" s="34"/>
    </row>
    <row r="19" spans="1:12" ht="12.75">
      <c r="A19" s="3" t="s">
        <v>7</v>
      </c>
      <c r="B19" s="363">
        <v>1559718.65</v>
      </c>
      <c r="C19" s="363">
        <v>436617.45</v>
      </c>
      <c r="D19" s="73">
        <v>0</v>
      </c>
      <c r="E19" s="92">
        <v>5428705.630000001</v>
      </c>
      <c r="F19" s="73">
        <v>38931.28</v>
      </c>
      <c r="G19" s="73">
        <v>182458</v>
      </c>
      <c r="H19" s="73">
        <v>0</v>
      </c>
      <c r="I19" s="73">
        <v>589145.19</v>
      </c>
      <c r="J19" s="73">
        <v>0</v>
      </c>
      <c r="K19" s="73">
        <v>0</v>
      </c>
      <c r="L19" s="34"/>
    </row>
    <row r="20" spans="1:12" ht="12.75">
      <c r="A20" s="3" t="s">
        <v>8</v>
      </c>
      <c r="B20" s="363">
        <v>2138375.45</v>
      </c>
      <c r="C20" s="363">
        <v>243366.21</v>
      </c>
      <c r="D20" s="73">
        <v>0</v>
      </c>
      <c r="E20" s="73">
        <v>3428757.32</v>
      </c>
      <c r="F20" s="73">
        <v>125285.07</v>
      </c>
      <c r="G20" s="73">
        <v>104487</v>
      </c>
      <c r="H20" s="73">
        <v>0</v>
      </c>
      <c r="I20" s="73">
        <v>703105.85</v>
      </c>
      <c r="J20" s="73">
        <v>0</v>
      </c>
      <c r="K20" s="73">
        <v>0</v>
      </c>
      <c r="L20" s="34"/>
    </row>
    <row r="21" spans="1:12" ht="12.75">
      <c r="A21" s="3" t="s">
        <v>9</v>
      </c>
      <c r="B21" s="363">
        <v>2844070.89</v>
      </c>
      <c r="C21" s="363">
        <v>487998.69</v>
      </c>
      <c r="D21" s="92">
        <v>552890.68</v>
      </c>
      <c r="E21" s="73">
        <v>4892506.41</v>
      </c>
      <c r="F21" s="73">
        <v>113475.02</v>
      </c>
      <c r="G21" s="73">
        <v>0</v>
      </c>
      <c r="H21" s="73">
        <v>0</v>
      </c>
      <c r="I21" s="73">
        <v>656942.87</v>
      </c>
      <c r="J21" s="73">
        <v>0</v>
      </c>
      <c r="K21" s="73">
        <v>0</v>
      </c>
      <c r="L21" s="34"/>
    </row>
    <row r="22" spans="1:12" ht="12.75">
      <c r="A22" s="3" t="s">
        <v>10</v>
      </c>
      <c r="B22" s="363">
        <v>1206755</v>
      </c>
      <c r="C22" s="363">
        <v>97228</v>
      </c>
      <c r="D22" s="73">
        <v>0</v>
      </c>
      <c r="E22" s="73">
        <v>1024733.59</v>
      </c>
      <c r="F22" s="73">
        <v>36124</v>
      </c>
      <c r="G22" s="73">
        <v>74160</v>
      </c>
      <c r="H22" s="73">
        <v>0</v>
      </c>
      <c r="I22" s="73">
        <v>284558.57</v>
      </c>
      <c r="J22" s="73">
        <v>0</v>
      </c>
      <c r="K22" s="73">
        <v>0</v>
      </c>
      <c r="L22" s="34"/>
    </row>
    <row r="23" spans="1:12" ht="12.75">
      <c r="A23" s="3"/>
      <c r="B23" s="363"/>
      <c r="C23" s="363"/>
      <c r="D23" s="73"/>
      <c r="E23" s="73"/>
      <c r="F23" s="73"/>
      <c r="G23" s="73"/>
      <c r="H23" s="73"/>
      <c r="I23" s="73"/>
      <c r="J23" s="73"/>
      <c r="K23" s="73"/>
      <c r="L23" s="34"/>
    </row>
    <row r="24" spans="1:12" ht="12.75">
      <c r="A24" s="3" t="s">
        <v>11</v>
      </c>
      <c r="B24" s="363">
        <v>3220510</v>
      </c>
      <c r="C24" s="363">
        <v>606425</v>
      </c>
      <c r="D24" s="73">
        <v>133317.98</v>
      </c>
      <c r="E24" s="73">
        <v>7097276.12</v>
      </c>
      <c r="F24" s="73">
        <v>155584.97</v>
      </c>
      <c r="G24" s="73">
        <v>0</v>
      </c>
      <c r="H24" s="73">
        <v>0</v>
      </c>
      <c r="I24" s="73">
        <v>1067663.56</v>
      </c>
      <c r="J24" s="73">
        <v>0</v>
      </c>
      <c r="K24" s="73">
        <v>0</v>
      </c>
      <c r="L24" s="34"/>
    </row>
    <row r="25" spans="1:12" ht="12.75">
      <c r="A25" s="3" t="s">
        <v>12</v>
      </c>
      <c r="B25" s="363">
        <v>912259</v>
      </c>
      <c r="C25" s="363">
        <v>86324</v>
      </c>
      <c r="D25" s="73">
        <v>0</v>
      </c>
      <c r="E25" s="73">
        <v>961503.15</v>
      </c>
      <c r="F25" s="73">
        <v>52344.63</v>
      </c>
      <c r="G25" s="73">
        <v>9702.49</v>
      </c>
      <c r="H25" s="73">
        <v>0</v>
      </c>
      <c r="I25" s="73">
        <v>325215.31</v>
      </c>
      <c r="J25" s="73">
        <v>0</v>
      </c>
      <c r="K25" s="73">
        <v>0</v>
      </c>
      <c r="L25" s="34"/>
    </row>
    <row r="26" spans="1:12" ht="12.75">
      <c r="A26" s="3" t="s">
        <v>13</v>
      </c>
      <c r="B26" s="363">
        <v>4210403</v>
      </c>
      <c r="C26" s="363">
        <v>807453</v>
      </c>
      <c r="D26" s="73">
        <v>339804.84</v>
      </c>
      <c r="E26" s="73">
        <v>7519112.090000001</v>
      </c>
      <c r="F26" s="73">
        <v>241839</v>
      </c>
      <c r="G26" s="73">
        <v>0</v>
      </c>
      <c r="H26" s="73">
        <v>0</v>
      </c>
      <c r="I26" s="73">
        <v>1312712.41</v>
      </c>
      <c r="J26" s="73">
        <v>0</v>
      </c>
      <c r="K26" s="73">
        <v>0</v>
      </c>
      <c r="L26" s="34"/>
    </row>
    <row r="27" spans="1:12" ht="12.75">
      <c r="A27" s="3" t="s">
        <v>14</v>
      </c>
      <c r="B27" s="363">
        <v>2778179</v>
      </c>
      <c r="C27" s="363">
        <v>714726</v>
      </c>
      <c r="D27" s="73">
        <v>145907</v>
      </c>
      <c r="E27" s="73">
        <v>8234509.709999999</v>
      </c>
      <c r="F27" s="73">
        <v>752938.66</v>
      </c>
      <c r="G27" s="73">
        <v>358429.09</v>
      </c>
      <c r="H27" s="73">
        <v>0</v>
      </c>
      <c r="I27" s="73">
        <v>1266382</v>
      </c>
      <c r="J27" s="73">
        <v>0</v>
      </c>
      <c r="K27" s="73">
        <v>0</v>
      </c>
      <c r="L27" s="34"/>
    </row>
    <row r="28" spans="1:12" ht="12.75">
      <c r="A28" s="3" t="s">
        <v>15</v>
      </c>
      <c r="B28" s="363">
        <v>510087</v>
      </c>
      <c r="C28" s="363">
        <v>51345</v>
      </c>
      <c r="D28" s="73">
        <v>46967</v>
      </c>
      <c r="E28" s="73">
        <v>608636.03</v>
      </c>
      <c r="F28" s="73">
        <v>25254.58</v>
      </c>
      <c r="G28" s="73">
        <v>43989</v>
      </c>
      <c r="H28" s="73">
        <v>0</v>
      </c>
      <c r="I28" s="73">
        <v>149161</v>
      </c>
      <c r="J28" s="73">
        <v>0</v>
      </c>
      <c r="K28" s="73">
        <v>0</v>
      </c>
      <c r="L28" s="34"/>
    </row>
    <row r="29" spans="1:12" ht="12.75">
      <c r="A29" s="3"/>
      <c r="B29" s="363"/>
      <c r="C29" s="363"/>
      <c r="D29" s="73"/>
      <c r="E29" s="73"/>
      <c r="F29" s="73"/>
      <c r="G29" s="73"/>
      <c r="H29" s="73"/>
      <c r="I29" s="73"/>
      <c r="J29" s="73"/>
      <c r="K29" s="73"/>
      <c r="L29" s="34"/>
    </row>
    <row r="30" spans="1:12" ht="12.75">
      <c r="A30" s="3" t="s">
        <v>16</v>
      </c>
      <c r="B30" s="363">
        <v>16424050</v>
      </c>
      <c r="C30" s="363">
        <v>2521355</v>
      </c>
      <c r="D30" s="73">
        <v>244838.54</v>
      </c>
      <c r="E30" s="73">
        <v>26187156.830000002</v>
      </c>
      <c r="F30" s="73">
        <v>826330.51</v>
      </c>
      <c r="G30" s="73">
        <v>0</v>
      </c>
      <c r="H30" s="73">
        <v>0</v>
      </c>
      <c r="I30" s="73">
        <v>4852999.5</v>
      </c>
      <c r="J30" s="73">
        <v>0</v>
      </c>
      <c r="K30" s="73">
        <v>0</v>
      </c>
      <c r="L30" s="34"/>
    </row>
    <row r="31" spans="1:12" ht="12.75">
      <c r="A31" s="3" t="s">
        <v>17</v>
      </c>
      <c r="B31" s="363">
        <v>29241485</v>
      </c>
      <c r="C31" s="363">
        <v>2752551</v>
      </c>
      <c r="D31" s="73">
        <v>188931.4</v>
      </c>
      <c r="E31" s="73">
        <v>24219757.95</v>
      </c>
      <c r="F31" s="73">
        <v>669295.11</v>
      </c>
      <c r="G31" s="73">
        <v>0</v>
      </c>
      <c r="H31" s="73">
        <v>0</v>
      </c>
      <c r="I31" s="73">
        <v>8604739.55</v>
      </c>
      <c r="J31" s="73">
        <v>0</v>
      </c>
      <c r="K31" s="73">
        <v>0</v>
      </c>
      <c r="L31" s="34"/>
    </row>
    <row r="32" spans="1:12" ht="12.75">
      <c r="A32" s="3" t="s">
        <v>18</v>
      </c>
      <c r="B32" s="363">
        <v>607500.07</v>
      </c>
      <c r="C32" s="73">
        <v>0</v>
      </c>
      <c r="D32" s="73">
        <v>0</v>
      </c>
      <c r="E32" s="73">
        <v>1529257.83</v>
      </c>
      <c r="F32" s="73">
        <v>46749.79</v>
      </c>
      <c r="G32" s="73">
        <v>71610</v>
      </c>
      <c r="H32" s="73">
        <v>0</v>
      </c>
      <c r="I32" s="73">
        <v>249992.09</v>
      </c>
      <c r="J32" s="73">
        <v>0</v>
      </c>
      <c r="K32" s="73">
        <v>0</v>
      </c>
      <c r="L32" s="34"/>
    </row>
    <row r="33" spans="1:12" ht="12.75">
      <c r="A33" s="3" t="s">
        <v>19</v>
      </c>
      <c r="B33" s="363">
        <v>1910073.21</v>
      </c>
      <c r="C33" s="363">
        <v>225445</v>
      </c>
      <c r="D33" s="73">
        <v>2335090.06</v>
      </c>
      <c r="E33" s="73">
        <v>2995897.65</v>
      </c>
      <c r="F33" s="73">
        <v>111875</v>
      </c>
      <c r="G33" s="73">
        <v>0</v>
      </c>
      <c r="H33" s="73">
        <v>0</v>
      </c>
      <c r="I33" s="73">
        <v>703351.83</v>
      </c>
      <c r="J33" s="73">
        <v>0</v>
      </c>
      <c r="K33" s="73">
        <v>0</v>
      </c>
      <c r="L33" s="34"/>
    </row>
    <row r="34" spans="1:12" ht="12.75">
      <c r="A34" s="3" t="s">
        <v>20</v>
      </c>
      <c r="B34" s="363">
        <v>809995.49</v>
      </c>
      <c r="C34" s="363">
        <v>63844</v>
      </c>
      <c r="D34" s="73">
        <v>0</v>
      </c>
      <c r="E34" s="73">
        <v>686031.7</v>
      </c>
      <c r="F34" s="73">
        <v>31066.01</v>
      </c>
      <c r="G34" s="73">
        <v>49233</v>
      </c>
      <c r="H34" s="73">
        <v>0</v>
      </c>
      <c r="I34" s="73">
        <v>267173</v>
      </c>
      <c r="J34" s="73">
        <v>0</v>
      </c>
      <c r="K34" s="73">
        <v>0</v>
      </c>
      <c r="L34" s="34"/>
    </row>
    <row r="35" spans="1:12" ht="12.75">
      <c r="A35" s="3"/>
      <c r="B35" s="363"/>
      <c r="C35" s="363"/>
      <c r="D35" s="73"/>
      <c r="E35" s="73"/>
      <c r="F35" s="73"/>
      <c r="G35" s="73"/>
      <c r="H35" s="73"/>
      <c r="I35" s="73"/>
      <c r="J35" s="34"/>
      <c r="K35" s="73"/>
      <c r="L35" s="34"/>
    </row>
    <row r="36" spans="1:12" ht="12.75">
      <c r="A36" s="3" t="s">
        <v>21</v>
      </c>
      <c r="B36" s="363">
        <v>565477</v>
      </c>
      <c r="C36" s="73">
        <v>64304</v>
      </c>
      <c r="D36" s="73">
        <v>0</v>
      </c>
      <c r="E36" s="73">
        <v>1115339.16</v>
      </c>
      <c r="F36" s="73">
        <v>13182.71</v>
      </c>
      <c r="G36" s="73">
        <v>76457.6</v>
      </c>
      <c r="H36" s="73">
        <v>0</v>
      </c>
      <c r="I36" s="73">
        <v>214348.71</v>
      </c>
      <c r="J36" s="73">
        <v>0</v>
      </c>
      <c r="K36" s="73">
        <v>0</v>
      </c>
      <c r="L36" s="34"/>
    </row>
    <row r="37" spans="1:12" ht="12.75">
      <c r="A37" s="3" t="s">
        <v>22</v>
      </c>
      <c r="B37" s="363">
        <v>4043063</v>
      </c>
      <c r="C37" s="363">
        <v>464505</v>
      </c>
      <c r="D37" s="364">
        <v>31799</v>
      </c>
      <c r="E37" s="73">
        <v>4440542.34</v>
      </c>
      <c r="F37" s="73">
        <v>128858.8</v>
      </c>
      <c r="G37" s="73">
        <v>149428.88</v>
      </c>
      <c r="H37" s="73">
        <v>0</v>
      </c>
      <c r="I37" s="73">
        <v>1176011.71</v>
      </c>
      <c r="J37" s="73">
        <v>0</v>
      </c>
      <c r="K37" s="73">
        <v>0</v>
      </c>
      <c r="L37" s="34"/>
    </row>
    <row r="38" spans="1:12" ht="12.75">
      <c r="A38" s="3" t="s">
        <v>23</v>
      </c>
      <c r="B38" s="363">
        <v>3325292.6</v>
      </c>
      <c r="C38" s="363">
        <v>320354.37</v>
      </c>
      <c r="D38" s="73">
        <v>0</v>
      </c>
      <c r="E38" s="73">
        <v>2852752.78</v>
      </c>
      <c r="F38" s="73">
        <v>93276.83</v>
      </c>
      <c r="G38" s="73">
        <v>128692</v>
      </c>
      <c r="H38" s="73">
        <v>0</v>
      </c>
      <c r="I38" s="73">
        <v>701179.04</v>
      </c>
      <c r="J38" s="73">
        <v>24489.14</v>
      </c>
      <c r="K38" s="73">
        <v>0</v>
      </c>
      <c r="L38" s="34"/>
    </row>
    <row r="39" spans="1:12" ht="12.75">
      <c r="A39" s="12" t="s">
        <v>24</v>
      </c>
      <c r="B39" s="365">
        <v>1304639.05</v>
      </c>
      <c r="C39" s="93">
        <v>0</v>
      </c>
      <c r="D39" s="93">
        <v>0</v>
      </c>
      <c r="E39" s="93">
        <v>1459263.05</v>
      </c>
      <c r="F39" s="366">
        <v>50587.68</v>
      </c>
      <c r="G39" s="93">
        <v>69471.57</v>
      </c>
      <c r="H39" s="93">
        <v>0</v>
      </c>
      <c r="I39" s="93">
        <v>678369.46</v>
      </c>
      <c r="J39" s="93">
        <v>0</v>
      </c>
      <c r="K39" s="93">
        <v>0</v>
      </c>
      <c r="L39" s="34"/>
    </row>
    <row r="40" spans="1:12" ht="12.75">
      <c r="A40" s="3"/>
      <c r="B40" s="64"/>
      <c r="C40" s="64"/>
      <c r="D40" s="73"/>
      <c r="E40" s="73"/>
      <c r="F40" s="73"/>
      <c r="G40" s="73"/>
      <c r="H40" s="73"/>
      <c r="I40" s="34"/>
      <c r="J40" s="34"/>
      <c r="K40" s="73"/>
      <c r="L40" s="34"/>
    </row>
    <row r="41" spans="1:12" ht="12.75">
      <c r="A41" s="3"/>
      <c r="B41" s="64"/>
      <c r="C41" s="64"/>
      <c r="D41" s="73"/>
      <c r="E41" s="73"/>
      <c r="F41" s="73"/>
      <c r="G41" s="73"/>
      <c r="H41" s="73"/>
      <c r="I41" s="34"/>
      <c r="J41" s="34"/>
      <c r="K41" s="34"/>
      <c r="L41" s="34"/>
    </row>
    <row r="42" spans="1:12" ht="12.75">
      <c r="A42" s="3"/>
      <c r="B42" s="64"/>
      <c r="C42" s="64"/>
      <c r="D42" s="73"/>
      <c r="E42" s="73"/>
      <c r="F42" s="73"/>
      <c r="G42" s="73"/>
      <c r="H42" s="73"/>
      <c r="I42" s="34"/>
      <c r="J42" s="34"/>
      <c r="K42" s="34"/>
      <c r="L42" s="34"/>
    </row>
    <row r="43" spans="1:12" ht="12.75">
      <c r="A43" s="3"/>
      <c r="B43" s="64"/>
      <c r="C43" s="64"/>
      <c r="D43" s="73"/>
      <c r="E43" s="73"/>
      <c r="F43" s="73"/>
      <c r="G43" s="73"/>
      <c r="H43" s="73"/>
      <c r="I43" s="34"/>
      <c r="J43" s="34"/>
      <c r="K43" s="34"/>
      <c r="L43" s="34"/>
    </row>
    <row r="44" spans="1:12" ht="12.75">
      <c r="A44" s="3"/>
      <c r="B44" s="64"/>
      <c r="C44" s="64"/>
      <c r="D44" s="73"/>
      <c r="E44" s="73"/>
      <c r="F44" s="73"/>
      <c r="G44" s="73"/>
      <c r="H44" s="73"/>
      <c r="I44" s="34"/>
      <c r="J44" s="34"/>
      <c r="K44" s="34"/>
      <c r="L44" s="34"/>
    </row>
    <row r="45" spans="1:12" ht="12.75">
      <c r="A45" s="3"/>
      <c r="B45" s="64"/>
      <c r="C45" s="64"/>
      <c r="D45" s="73"/>
      <c r="E45" s="73"/>
      <c r="F45" s="73"/>
      <c r="G45" s="73"/>
      <c r="H45" s="73"/>
      <c r="I45" s="34"/>
      <c r="J45" s="34"/>
      <c r="K45" s="34"/>
      <c r="L45" s="34"/>
    </row>
    <row r="46" spans="1:12" ht="12.75">
      <c r="A46" s="3"/>
      <c r="B46" s="64"/>
      <c r="C46" s="64"/>
      <c r="D46" s="73"/>
      <c r="E46" s="73"/>
      <c r="F46" s="73"/>
      <c r="G46" s="73"/>
      <c r="H46" s="73"/>
      <c r="I46" s="34"/>
      <c r="J46" s="34"/>
      <c r="K46" s="34"/>
      <c r="L46" s="34"/>
    </row>
    <row r="47" spans="1:8" ht="12.75">
      <c r="A47" s="3"/>
      <c r="B47" s="3"/>
      <c r="C47" s="3"/>
      <c r="D47" s="15"/>
      <c r="E47" s="15"/>
      <c r="F47" s="15"/>
      <c r="G47" s="15"/>
      <c r="H47" s="15"/>
    </row>
    <row r="48" spans="1:8" ht="12.75">
      <c r="A48" s="3"/>
      <c r="B48" s="3"/>
      <c r="C48" s="3"/>
      <c r="D48" s="15"/>
      <c r="E48" s="15"/>
      <c r="F48" s="15"/>
      <c r="G48" s="15"/>
      <c r="H48" s="15"/>
    </row>
    <row r="49" spans="1:8" ht="12.75">
      <c r="A49" s="3"/>
      <c r="B49" s="3"/>
      <c r="C49" s="3"/>
      <c r="D49" s="15"/>
      <c r="E49" s="15"/>
      <c r="F49" s="15"/>
      <c r="G49" s="15"/>
      <c r="H49" s="15"/>
    </row>
    <row r="50" spans="1:8" ht="12.75">
      <c r="A50" s="3"/>
      <c r="B50" s="3"/>
      <c r="C50" s="3"/>
      <c r="D50" s="15"/>
      <c r="E50" s="15"/>
      <c r="F50" s="15"/>
      <c r="G50" s="15"/>
      <c r="H50" s="15"/>
    </row>
    <row r="51" spans="1:8" ht="12.75">
      <c r="A51" s="3"/>
      <c r="B51" s="3"/>
      <c r="C51" s="3"/>
      <c r="D51" s="15"/>
      <c r="E51" s="15"/>
      <c r="F51" s="15"/>
      <c r="G51" s="15"/>
      <c r="H51" s="15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</sheetData>
  <sheetProtection password="CAF5" sheet="1"/>
  <mergeCells count="7">
    <mergeCell ref="A1:K1"/>
    <mergeCell ref="A3:K3"/>
    <mergeCell ref="E5:G5"/>
    <mergeCell ref="I5:I9"/>
    <mergeCell ref="K6:K9"/>
    <mergeCell ref="D7:D9"/>
    <mergeCell ref="B5:C5"/>
  </mergeCells>
  <printOptions horizontalCentered="1"/>
  <pageMargins left="0.45" right="0.52" top="0.83" bottom="1" header="0.67" footer="0.5"/>
  <pageSetup fitToHeight="1" fitToWidth="1" horizontalDpi="600" verticalDpi="600" orientation="landscape" scale="84" r:id="rId1"/>
  <headerFooter alignWithMargins="0">
    <oddFooter>&amp;L&amp;"Arial,Italic"&amp;9MSDE-DBS 10 / 2009
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view="pageLayout" workbookViewId="0" topLeftCell="A1">
      <selection activeCell="J25" sqref="J25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8515625" style="0" customWidth="1"/>
    <col min="4" max="4" width="13.00390625" style="0" customWidth="1"/>
    <col min="5" max="5" width="11.421875" style="0" customWidth="1"/>
    <col min="6" max="7" width="10.8515625" style="0" customWidth="1"/>
    <col min="8" max="8" width="12.421875" style="0" customWidth="1"/>
    <col min="9" max="9" width="14.421875" style="0" customWidth="1"/>
    <col min="10" max="10" width="12.28125" style="0" bestFit="1" customWidth="1"/>
  </cols>
  <sheetData>
    <row r="1" spans="1:9" ht="12.75">
      <c r="A1" s="434" t="s">
        <v>127</v>
      </c>
      <c r="B1" s="434"/>
      <c r="C1" s="434"/>
      <c r="D1" s="434"/>
      <c r="E1" s="434"/>
      <c r="F1" s="434"/>
      <c r="G1" s="434"/>
      <c r="H1" s="434"/>
      <c r="I1" s="434"/>
    </row>
    <row r="2" spans="1:4" ht="12.75">
      <c r="A2" s="3"/>
      <c r="B2" s="3"/>
      <c r="C2" s="3"/>
      <c r="D2" s="3"/>
    </row>
    <row r="3" spans="1:9" ht="12.75">
      <c r="A3" s="434" t="s">
        <v>260</v>
      </c>
      <c r="B3" s="434"/>
      <c r="C3" s="434"/>
      <c r="D3" s="434"/>
      <c r="E3" s="434"/>
      <c r="F3" s="434"/>
      <c r="G3" s="434"/>
      <c r="H3" s="434"/>
      <c r="I3" s="434"/>
    </row>
    <row r="4" spans="1:15" ht="15" customHeight="1" thickBot="1">
      <c r="A4" s="3"/>
      <c r="B4" s="3"/>
      <c r="C4" s="3"/>
      <c r="D4" s="3"/>
      <c r="E4" s="3"/>
      <c r="F4" s="3"/>
      <c r="G4" s="3"/>
      <c r="H4" s="11"/>
      <c r="I4" s="11"/>
      <c r="O4" s="3"/>
    </row>
    <row r="5" spans="1:15" ht="17.25" customHeight="1" thickTop="1">
      <c r="A5" s="6"/>
      <c r="B5" s="6"/>
      <c r="C5" s="17"/>
      <c r="D5" s="17"/>
      <c r="E5" s="74" t="s">
        <v>169</v>
      </c>
      <c r="F5" s="448" t="s">
        <v>166</v>
      </c>
      <c r="G5" s="451" t="s">
        <v>220</v>
      </c>
      <c r="H5" s="90"/>
      <c r="I5" s="90"/>
      <c r="O5" s="3"/>
    </row>
    <row r="6" spans="1:15" ht="12.75" customHeight="1">
      <c r="A6" s="3"/>
      <c r="B6" s="3"/>
      <c r="C6" s="70" t="s">
        <v>152</v>
      </c>
      <c r="D6" s="446" t="s">
        <v>205</v>
      </c>
      <c r="E6" s="70" t="s">
        <v>170</v>
      </c>
      <c r="F6" s="449"/>
      <c r="G6" s="403"/>
      <c r="H6" s="443" t="s">
        <v>221</v>
      </c>
      <c r="I6" s="414"/>
      <c r="O6" s="3"/>
    </row>
    <row r="7" spans="1:15" ht="12.75">
      <c r="A7" s="3" t="s">
        <v>83</v>
      </c>
      <c r="B7" s="3"/>
      <c r="C7" s="70" t="s">
        <v>37</v>
      </c>
      <c r="D7" s="447"/>
      <c r="E7" s="70" t="s">
        <v>171</v>
      </c>
      <c r="F7" s="449"/>
      <c r="G7" s="403"/>
      <c r="H7" s="452"/>
      <c r="I7" s="452"/>
      <c r="O7" s="3"/>
    </row>
    <row r="8" spans="1:15" ht="12.75">
      <c r="A8" s="3" t="s">
        <v>35</v>
      </c>
      <c r="B8" s="4" t="s">
        <v>216</v>
      </c>
      <c r="C8" s="70" t="s">
        <v>71</v>
      </c>
      <c r="D8" s="447"/>
      <c r="E8" s="70" t="s">
        <v>172</v>
      </c>
      <c r="F8" s="449"/>
      <c r="G8" s="403"/>
      <c r="H8" s="453" t="s">
        <v>222</v>
      </c>
      <c r="I8" s="70" t="s">
        <v>174</v>
      </c>
      <c r="O8" s="3"/>
    </row>
    <row r="9" spans="1:15" ht="16.5" customHeight="1" thickBot="1">
      <c r="A9" s="7" t="s">
        <v>141</v>
      </c>
      <c r="B9" s="8" t="s">
        <v>36</v>
      </c>
      <c r="C9" s="75" t="s">
        <v>57</v>
      </c>
      <c r="D9" s="444"/>
      <c r="E9" s="75" t="s">
        <v>173</v>
      </c>
      <c r="F9" s="450"/>
      <c r="G9" s="404"/>
      <c r="H9" s="435"/>
      <c r="I9" s="75" t="s">
        <v>28</v>
      </c>
      <c r="O9" s="3"/>
    </row>
    <row r="10" spans="1:15" s="47" customFormat="1" ht="12.75">
      <c r="A10" s="51" t="s">
        <v>0</v>
      </c>
      <c r="B10" s="193">
        <f aca="true" t="shared" si="0" ref="B10:I10">SUM(B12:B39)</f>
        <v>5034009.66</v>
      </c>
      <c r="C10" s="193">
        <f t="shared" si="0"/>
        <v>210030.54000000004</v>
      </c>
      <c r="D10" s="63">
        <f t="shared" si="0"/>
        <v>8440679.319999998</v>
      </c>
      <c r="E10" s="190">
        <f t="shared" si="0"/>
        <v>1625126.6199999999</v>
      </c>
      <c r="F10" s="190">
        <f t="shared" si="0"/>
        <v>144707.34</v>
      </c>
      <c r="G10" s="190">
        <f t="shared" si="0"/>
        <v>697156.3</v>
      </c>
      <c r="H10" s="190">
        <f t="shared" si="0"/>
        <v>18500</v>
      </c>
      <c r="I10" s="190">
        <f t="shared" si="0"/>
        <v>196684.71</v>
      </c>
      <c r="O10" s="16"/>
    </row>
    <row r="11" spans="1:15" ht="12.75">
      <c r="A11" s="3"/>
      <c r="B11" s="3"/>
      <c r="C11" s="48"/>
      <c r="D11" s="48"/>
      <c r="E11" s="48"/>
      <c r="F11" s="48"/>
      <c r="G11" s="48"/>
      <c r="H11" s="48"/>
      <c r="I11" s="48"/>
      <c r="O11" s="3"/>
    </row>
    <row r="12" spans="1:15" ht="12.75">
      <c r="A12" s="3" t="s">
        <v>1</v>
      </c>
      <c r="B12" s="101">
        <v>0</v>
      </c>
      <c r="C12" s="337">
        <v>31743.8</v>
      </c>
      <c r="D12" s="101">
        <v>435292.6</v>
      </c>
      <c r="E12" s="101">
        <v>196446.67</v>
      </c>
      <c r="F12" s="101">
        <v>0</v>
      </c>
      <c r="G12" s="101">
        <v>0</v>
      </c>
      <c r="H12" s="101">
        <v>0</v>
      </c>
      <c r="I12" s="101">
        <v>10008.04</v>
      </c>
      <c r="O12" s="15"/>
    </row>
    <row r="13" spans="1:15" ht="12.75">
      <c r="A13" s="3" t="s">
        <v>2</v>
      </c>
      <c r="B13" s="101">
        <v>173155.84</v>
      </c>
      <c r="C13" s="367">
        <v>28527.9</v>
      </c>
      <c r="D13" s="101">
        <v>289408.73</v>
      </c>
      <c r="E13" s="243">
        <v>0</v>
      </c>
      <c r="F13" s="101">
        <v>0</v>
      </c>
      <c r="G13" s="101">
        <v>83278.32</v>
      </c>
      <c r="H13" s="101">
        <v>0</v>
      </c>
      <c r="I13" s="101">
        <v>11919.89</v>
      </c>
      <c r="O13" s="15"/>
    </row>
    <row r="14" spans="1:15" ht="12.75">
      <c r="A14" s="3" t="s">
        <v>3</v>
      </c>
      <c r="B14" s="101">
        <v>3729919.71</v>
      </c>
      <c r="C14" s="337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9024.95</v>
      </c>
      <c r="O14" s="15"/>
    </row>
    <row r="15" spans="1:15" ht="12.75">
      <c r="A15" s="3" t="s">
        <v>4</v>
      </c>
      <c r="B15" s="101">
        <v>0</v>
      </c>
      <c r="C15" s="101">
        <v>13446.7</v>
      </c>
      <c r="D15" s="101">
        <v>0</v>
      </c>
      <c r="E15" s="101">
        <v>226766.83</v>
      </c>
      <c r="F15" s="101">
        <v>28033.66</v>
      </c>
      <c r="G15" s="101">
        <v>78520.4</v>
      </c>
      <c r="H15" s="101">
        <v>0</v>
      </c>
      <c r="I15" s="101">
        <v>14930.38</v>
      </c>
      <c r="O15" s="15"/>
    </row>
    <row r="16" spans="1:15" ht="12.75">
      <c r="A16" s="3" t="s">
        <v>5</v>
      </c>
      <c r="B16" s="101">
        <v>0</v>
      </c>
      <c r="C16" s="101">
        <v>0</v>
      </c>
      <c r="D16" s="101">
        <v>103817</v>
      </c>
      <c r="E16" s="101">
        <v>0</v>
      </c>
      <c r="F16" s="101">
        <v>0</v>
      </c>
      <c r="G16" s="101">
        <v>0</v>
      </c>
      <c r="H16" s="101">
        <v>0</v>
      </c>
      <c r="I16" s="101">
        <v>11196.13</v>
      </c>
      <c r="O16" s="15"/>
    </row>
    <row r="17" spans="1:15" ht="12.75">
      <c r="A17" s="3"/>
      <c r="B17" s="77"/>
      <c r="C17" s="101"/>
      <c r="D17" s="101"/>
      <c r="E17" s="101"/>
      <c r="F17" s="101"/>
      <c r="G17" s="101"/>
      <c r="H17" s="101"/>
      <c r="I17" s="101"/>
      <c r="O17" s="15"/>
    </row>
    <row r="18" spans="1:15" ht="12.75">
      <c r="A18" s="3" t="s">
        <v>6</v>
      </c>
      <c r="B18" s="101">
        <v>0</v>
      </c>
      <c r="C18" s="101">
        <v>18799.02</v>
      </c>
      <c r="D18" s="101">
        <v>578152.17</v>
      </c>
      <c r="E18" s="101">
        <v>0</v>
      </c>
      <c r="F18" s="101">
        <v>18013</v>
      </c>
      <c r="G18" s="101">
        <v>0</v>
      </c>
      <c r="H18" s="101">
        <v>0</v>
      </c>
      <c r="I18" s="101">
        <v>0</v>
      </c>
      <c r="O18" s="15"/>
    </row>
    <row r="19" spans="1:15" ht="12.75">
      <c r="A19" s="3" t="s">
        <v>7</v>
      </c>
      <c r="B19" s="101">
        <v>0</v>
      </c>
      <c r="C19" s="101">
        <v>27255.21</v>
      </c>
      <c r="D19" s="101">
        <v>725413.08</v>
      </c>
      <c r="E19" s="101">
        <v>0</v>
      </c>
      <c r="F19" s="101">
        <v>0</v>
      </c>
      <c r="G19" s="101">
        <v>0</v>
      </c>
      <c r="H19" s="101">
        <v>0</v>
      </c>
      <c r="I19" s="101">
        <v>20449.16</v>
      </c>
      <c r="O19" s="15"/>
    </row>
    <row r="20" spans="1:15" ht="12.75">
      <c r="A20" s="3" t="s">
        <v>8</v>
      </c>
      <c r="B20" s="101">
        <v>0</v>
      </c>
      <c r="C20" s="101">
        <v>11831.42</v>
      </c>
      <c r="D20" s="101">
        <v>0</v>
      </c>
      <c r="E20" s="101">
        <v>0</v>
      </c>
      <c r="F20" s="101">
        <v>0</v>
      </c>
      <c r="G20" s="101">
        <v>89783.55</v>
      </c>
      <c r="H20" s="101">
        <v>0</v>
      </c>
      <c r="I20" s="101">
        <v>6124.4</v>
      </c>
      <c r="O20" s="15"/>
    </row>
    <row r="21" spans="1:15" ht="12.75">
      <c r="A21" s="3" t="s">
        <v>9</v>
      </c>
      <c r="B21" s="101">
        <v>0</v>
      </c>
      <c r="C21" s="101">
        <v>0</v>
      </c>
      <c r="D21" s="101">
        <v>117363.53</v>
      </c>
      <c r="E21" s="101">
        <v>0</v>
      </c>
      <c r="F21" s="101">
        <v>0</v>
      </c>
      <c r="G21" s="101">
        <v>0</v>
      </c>
      <c r="H21" s="101">
        <v>0</v>
      </c>
      <c r="I21" s="101">
        <v>17191.35</v>
      </c>
      <c r="O21" s="15"/>
    </row>
    <row r="22" spans="1:15" ht="12.75">
      <c r="A22" s="3" t="s">
        <v>10</v>
      </c>
      <c r="B22" s="101">
        <v>0</v>
      </c>
      <c r="C22" s="101">
        <v>140</v>
      </c>
      <c r="D22" s="101">
        <v>0</v>
      </c>
      <c r="E22" s="101">
        <v>0</v>
      </c>
      <c r="F22" s="101">
        <v>26318.31</v>
      </c>
      <c r="G22" s="101">
        <v>0</v>
      </c>
      <c r="H22" s="101">
        <v>0</v>
      </c>
      <c r="I22" s="101">
        <v>0</v>
      </c>
      <c r="O22" s="15"/>
    </row>
    <row r="23" spans="1:15" ht="12.75">
      <c r="A23" s="3"/>
      <c r="B23" s="77"/>
      <c r="C23" s="101"/>
      <c r="D23" s="101"/>
      <c r="E23" s="101"/>
      <c r="F23" s="101"/>
      <c r="G23" s="101"/>
      <c r="H23" s="101"/>
      <c r="I23" s="101"/>
      <c r="O23" s="15"/>
    </row>
    <row r="24" spans="1:15" ht="12.75">
      <c r="A24" s="3" t="s">
        <v>11</v>
      </c>
      <c r="B24" s="101">
        <v>0</v>
      </c>
      <c r="C24" s="101">
        <v>0</v>
      </c>
      <c r="D24" s="101">
        <v>230036.94</v>
      </c>
      <c r="E24" s="101">
        <v>0</v>
      </c>
      <c r="F24" s="101">
        <v>0</v>
      </c>
      <c r="G24" s="101">
        <v>0</v>
      </c>
      <c r="H24" s="101">
        <v>0</v>
      </c>
      <c r="I24" s="101">
        <v>17675</v>
      </c>
      <c r="O24" s="15"/>
    </row>
    <row r="25" spans="1:15" ht="12.75">
      <c r="A25" s="3" t="s">
        <v>12</v>
      </c>
      <c r="B25" s="101">
        <v>0</v>
      </c>
      <c r="C25" s="101">
        <v>0</v>
      </c>
      <c r="D25" s="101">
        <v>0</v>
      </c>
      <c r="E25" s="356">
        <v>220244.72</v>
      </c>
      <c r="F25" s="101">
        <v>3046.22</v>
      </c>
      <c r="G25" s="101">
        <v>0</v>
      </c>
      <c r="H25" s="101">
        <v>0</v>
      </c>
      <c r="I25" s="101">
        <v>19269.75</v>
      </c>
      <c r="O25" s="15"/>
    </row>
    <row r="26" spans="1:15" ht="12.75">
      <c r="A26" s="3" t="s">
        <v>13</v>
      </c>
      <c r="B26" s="101">
        <v>54922.15</v>
      </c>
      <c r="C26" s="101">
        <v>13736.49</v>
      </c>
      <c r="D26" s="101">
        <v>528675.3</v>
      </c>
      <c r="E26" s="101">
        <v>0</v>
      </c>
      <c r="F26" s="101">
        <v>0</v>
      </c>
      <c r="G26" s="101">
        <v>0</v>
      </c>
      <c r="H26" s="101">
        <v>0</v>
      </c>
      <c r="I26" s="101">
        <v>15819.23</v>
      </c>
      <c r="O26" s="15"/>
    </row>
    <row r="27" spans="1:15" ht="12.75">
      <c r="A27" s="3" t="s">
        <v>14</v>
      </c>
      <c r="B27" s="101">
        <v>0</v>
      </c>
      <c r="C27" s="101">
        <v>0</v>
      </c>
      <c r="D27" s="101">
        <v>1010564.92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O27" s="15"/>
    </row>
    <row r="28" spans="1:15" ht="12.75">
      <c r="A28" s="3" t="s">
        <v>15</v>
      </c>
      <c r="B28" s="101">
        <v>0</v>
      </c>
      <c r="C28" s="101">
        <v>0</v>
      </c>
      <c r="D28" s="101">
        <v>452490.88</v>
      </c>
      <c r="E28" s="101">
        <v>0</v>
      </c>
      <c r="F28" s="101">
        <v>0</v>
      </c>
      <c r="G28" s="101">
        <v>0</v>
      </c>
      <c r="H28" s="101">
        <v>11000</v>
      </c>
      <c r="I28" s="101">
        <v>0</v>
      </c>
      <c r="O28" s="15"/>
    </row>
    <row r="29" spans="1:15" ht="12.75">
      <c r="A29" s="3"/>
      <c r="B29" s="101"/>
      <c r="C29" s="101"/>
      <c r="D29" s="101"/>
      <c r="E29" s="101"/>
      <c r="F29" s="101"/>
      <c r="G29" s="101"/>
      <c r="H29" s="101"/>
      <c r="I29" s="101"/>
      <c r="O29" s="15"/>
    </row>
    <row r="30" spans="1:15" ht="12.75">
      <c r="A30" s="3" t="s">
        <v>16</v>
      </c>
      <c r="B30" s="101">
        <v>0</v>
      </c>
      <c r="C30" s="101">
        <v>2964.02</v>
      </c>
      <c r="D30" s="101">
        <v>586310.78</v>
      </c>
      <c r="E30" s="101">
        <v>0</v>
      </c>
      <c r="F30" s="101">
        <v>9443.62</v>
      </c>
      <c r="G30" s="101">
        <v>43724.06</v>
      </c>
      <c r="H30" s="101">
        <v>0</v>
      </c>
      <c r="I30" s="101">
        <v>0</v>
      </c>
      <c r="O30" s="15"/>
    </row>
    <row r="31" spans="1:15" ht="12.75">
      <c r="A31" s="3" t="s">
        <v>17</v>
      </c>
      <c r="B31" s="101">
        <v>739166.96</v>
      </c>
      <c r="C31" s="101">
        <v>0</v>
      </c>
      <c r="D31" s="101">
        <v>0</v>
      </c>
      <c r="E31" s="101">
        <v>597956.2</v>
      </c>
      <c r="F31" s="101">
        <v>0</v>
      </c>
      <c r="G31" s="101">
        <v>0</v>
      </c>
      <c r="H31" s="101">
        <v>0</v>
      </c>
      <c r="I31" s="101">
        <v>18686.58</v>
      </c>
      <c r="O31" s="15"/>
    </row>
    <row r="32" spans="1:15" ht="12.75">
      <c r="A32" s="3" t="s">
        <v>18</v>
      </c>
      <c r="B32" s="101">
        <v>0</v>
      </c>
      <c r="C32" s="101">
        <v>7363.92</v>
      </c>
      <c r="D32" s="101">
        <v>264508.72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O32" s="15"/>
    </row>
    <row r="33" spans="1:15" ht="12.75">
      <c r="A33" s="3" t="s">
        <v>19</v>
      </c>
      <c r="B33" s="101">
        <v>336845</v>
      </c>
      <c r="C33" s="101">
        <v>29756.79</v>
      </c>
      <c r="D33" s="101">
        <v>571066.01</v>
      </c>
      <c r="E33" s="101">
        <v>0</v>
      </c>
      <c r="F33" s="101">
        <v>0</v>
      </c>
      <c r="G33" s="101">
        <v>81444.09</v>
      </c>
      <c r="H33" s="101">
        <v>7500</v>
      </c>
      <c r="I33" s="101">
        <v>11222.88</v>
      </c>
      <c r="O33" s="15"/>
    </row>
    <row r="34" spans="1:15" ht="12.75">
      <c r="A34" s="3" t="s">
        <v>20</v>
      </c>
      <c r="B34" s="101">
        <v>0</v>
      </c>
      <c r="C34" s="101">
        <v>0</v>
      </c>
      <c r="D34" s="101">
        <v>350749.38</v>
      </c>
      <c r="E34" s="101">
        <v>215650.41</v>
      </c>
      <c r="F34" s="101">
        <v>0</v>
      </c>
      <c r="G34" s="101">
        <v>41074.55</v>
      </c>
      <c r="H34" s="101">
        <v>0</v>
      </c>
      <c r="I34" s="101">
        <v>0</v>
      </c>
      <c r="O34" s="15"/>
    </row>
    <row r="35" spans="1:15" ht="12.75">
      <c r="A35" s="3"/>
      <c r="B35" s="101"/>
      <c r="C35" s="101"/>
      <c r="D35" s="101"/>
      <c r="E35" s="101"/>
      <c r="F35" s="101"/>
      <c r="G35" s="101"/>
      <c r="H35" s="101"/>
      <c r="I35" s="110"/>
      <c r="O35" s="15"/>
    </row>
    <row r="36" spans="1:15" ht="12.75">
      <c r="A36" s="3" t="s">
        <v>21</v>
      </c>
      <c r="B36" s="101">
        <v>0</v>
      </c>
      <c r="C36" s="101">
        <v>9.6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O36" s="15"/>
    </row>
    <row r="37" spans="1:15" ht="12.75">
      <c r="A37" s="3" t="s">
        <v>22</v>
      </c>
      <c r="B37" s="101">
        <v>0</v>
      </c>
      <c r="C37" s="101">
        <v>5358.97</v>
      </c>
      <c r="D37" s="101">
        <v>397165.37</v>
      </c>
      <c r="E37" s="101">
        <v>0</v>
      </c>
      <c r="F37" s="101">
        <v>6550.47</v>
      </c>
      <c r="G37" s="101">
        <v>71086.55</v>
      </c>
      <c r="H37" s="101">
        <v>0</v>
      </c>
      <c r="I37" s="101">
        <v>0</v>
      </c>
      <c r="O37" s="15"/>
    </row>
    <row r="38" spans="1:15" ht="12.75">
      <c r="A38" s="3" t="s">
        <v>23</v>
      </c>
      <c r="B38" s="101">
        <v>0</v>
      </c>
      <c r="C38" s="101">
        <v>3554.98</v>
      </c>
      <c r="D38" s="101">
        <v>800047.96</v>
      </c>
      <c r="E38" s="101">
        <v>168061.79</v>
      </c>
      <c r="F38" s="101">
        <v>0</v>
      </c>
      <c r="G38" s="101">
        <v>78021</v>
      </c>
      <c r="H38" s="101">
        <v>0</v>
      </c>
      <c r="I38" s="101">
        <v>13166.97</v>
      </c>
      <c r="O38" s="15"/>
    </row>
    <row r="39" spans="1:15" ht="12.75">
      <c r="A39" s="12" t="s">
        <v>24</v>
      </c>
      <c r="B39" s="339">
        <v>0</v>
      </c>
      <c r="C39" s="339">
        <v>15541.72</v>
      </c>
      <c r="D39" s="339">
        <v>999615.95</v>
      </c>
      <c r="E39" s="339">
        <v>0</v>
      </c>
      <c r="F39" s="339">
        <v>53302.06</v>
      </c>
      <c r="G39" s="339">
        <v>130223.78</v>
      </c>
      <c r="H39" s="339">
        <v>0</v>
      </c>
      <c r="I39" s="339">
        <v>0</v>
      </c>
      <c r="O39" s="15"/>
    </row>
    <row r="40" spans="1:15" ht="12.75">
      <c r="A40" s="3"/>
      <c r="B40" s="3"/>
      <c r="C40" s="15"/>
      <c r="E40" s="15"/>
      <c r="F40" s="15"/>
      <c r="G40" s="15"/>
      <c r="H40" s="15"/>
      <c r="I40" s="15"/>
      <c r="O40" s="15"/>
    </row>
    <row r="41" spans="1:15" ht="12.75">
      <c r="A41" s="3"/>
      <c r="B41" s="3"/>
      <c r="C41" s="3"/>
      <c r="E41" s="15"/>
      <c r="F41" s="15"/>
      <c r="G41" s="15"/>
      <c r="H41" s="15"/>
      <c r="I41" s="15"/>
      <c r="O41" s="15"/>
    </row>
    <row r="42" spans="1:15" ht="12.75">
      <c r="A42" s="3"/>
      <c r="B42" s="3"/>
      <c r="C42" s="3"/>
      <c r="E42" s="15"/>
      <c r="F42" s="15"/>
      <c r="G42" s="15"/>
      <c r="H42" s="15"/>
      <c r="I42" s="15"/>
      <c r="O42" s="15"/>
    </row>
    <row r="43" spans="1:15" ht="12.75">
      <c r="A43" s="3"/>
      <c r="B43" s="3"/>
      <c r="C43" s="3"/>
      <c r="E43" s="15"/>
      <c r="F43" s="15"/>
      <c r="G43" s="15"/>
      <c r="H43" s="15"/>
      <c r="I43" s="15"/>
      <c r="O43" s="15"/>
    </row>
    <row r="44" spans="1:15" ht="12.75">
      <c r="A44" s="3"/>
      <c r="B44" s="3"/>
      <c r="C44" s="3"/>
      <c r="E44" s="15"/>
      <c r="F44" s="15"/>
      <c r="G44" s="15"/>
      <c r="H44" s="15"/>
      <c r="I44" s="15"/>
      <c r="O44" s="15"/>
    </row>
    <row r="45" spans="1:15" ht="12.75">
      <c r="A45" s="3"/>
      <c r="B45" s="3"/>
      <c r="C45" s="3"/>
      <c r="E45" s="15"/>
      <c r="F45" s="15"/>
      <c r="G45" s="15"/>
      <c r="H45" s="15"/>
      <c r="I45" s="15"/>
      <c r="O45" s="15"/>
    </row>
    <row r="46" spans="1:15" ht="12.75">
      <c r="A46" s="3"/>
      <c r="B46" s="3"/>
      <c r="C46" s="3"/>
      <c r="E46" s="15"/>
      <c r="F46" s="15"/>
      <c r="G46" s="15"/>
      <c r="H46" s="15"/>
      <c r="I46" s="15"/>
      <c r="O46" s="15"/>
    </row>
    <row r="47" spans="1:15" ht="12.75">
      <c r="A47" s="3"/>
      <c r="B47" s="3"/>
      <c r="C47" s="3"/>
      <c r="E47" s="15"/>
      <c r="F47" s="15"/>
      <c r="G47" s="15"/>
      <c r="H47" s="15"/>
      <c r="I47" s="15"/>
      <c r="O47" s="15"/>
    </row>
    <row r="48" spans="1:15" ht="12.75">
      <c r="A48" s="3"/>
      <c r="B48" s="3"/>
      <c r="C48" s="3"/>
      <c r="E48" s="15"/>
      <c r="F48" s="15"/>
      <c r="G48" s="15"/>
      <c r="H48" s="15"/>
      <c r="I48" s="15"/>
      <c r="O48" s="15"/>
    </row>
    <row r="49" spans="1:15" ht="12.75">
      <c r="A49" s="3"/>
      <c r="B49" s="3"/>
      <c r="C49" s="3"/>
      <c r="E49" s="15"/>
      <c r="F49" s="15"/>
      <c r="G49" s="15"/>
      <c r="H49" s="15"/>
      <c r="I49" s="15"/>
      <c r="O49" s="15"/>
    </row>
    <row r="50" spans="1:15" ht="12.75">
      <c r="A50" s="3"/>
      <c r="B50" s="3"/>
      <c r="C50" s="3"/>
      <c r="D50" s="3"/>
      <c r="E50" s="15"/>
      <c r="F50" s="15"/>
      <c r="G50" s="15"/>
      <c r="H50" s="15"/>
      <c r="I50" s="15"/>
      <c r="O50" s="15"/>
    </row>
    <row r="51" spans="1:15" ht="12.75">
      <c r="A51" s="3"/>
      <c r="B51" s="3"/>
      <c r="C51" s="3"/>
      <c r="D51" s="3"/>
      <c r="E51" s="15"/>
      <c r="F51" s="15"/>
      <c r="G51" s="15"/>
      <c r="H51" s="15"/>
      <c r="I51" s="15"/>
      <c r="O51" s="15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</sheetData>
  <sheetProtection password="CAF5" sheet="1"/>
  <mergeCells count="7">
    <mergeCell ref="A1:I1"/>
    <mergeCell ref="A3:I3"/>
    <mergeCell ref="D6:D9"/>
    <mergeCell ref="F5:F9"/>
    <mergeCell ref="G5:G9"/>
    <mergeCell ref="H6:I7"/>
    <mergeCell ref="H8:H9"/>
  </mergeCells>
  <printOptions horizontalCentered="1"/>
  <pageMargins left="0.56" right="0.49" top="0.83" bottom="1.07" header="0.67" footer="0.5"/>
  <pageSetup fitToHeight="1" fitToWidth="1" horizontalDpi="600" verticalDpi="600" orientation="landscape" scale="95" r:id="rId1"/>
  <headerFooter alignWithMargins="0">
    <oddHeader>&amp;R
</oddHeader>
    <oddFooter>&amp;L&amp;"Arial,Italic"&amp;9MSDE-DBS  10 / 2009&amp;C- 15 -&amp;R&amp;"Arial,Italic"&amp;9Selected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Layout" workbookViewId="0" topLeftCell="A1">
      <selection activeCell="I5" sqref="I5"/>
    </sheetView>
  </sheetViews>
  <sheetFormatPr defaultColWidth="9.140625" defaultRowHeight="12.75"/>
  <cols>
    <col min="1" max="1" width="17.28125" style="0" customWidth="1"/>
    <col min="2" max="2" width="12.8515625" style="0" customWidth="1"/>
    <col min="3" max="3" width="14.00390625" style="0" customWidth="1"/>
    <col min="4" max="4" width="14.8515625" style="0" customWidth="1"/>
    <col min="5" max="5" width="12.28125" style="0" customWidth="1"/>
    <col min="6" max="6" width="12.8515625" style="0" customWidth="1"/>
    <col min="7" max="7" width="13.7109375" style="0" customWidth="1"/>
    <col min="8" max="8" width="14.57421875" style="0" customWidth="1"/>
  </cols>
  <sheetData>
    <row r="1" spans="1:8" ht="12.75">
      <c r="A1" s="434" t="s">
        <v>127</v>
      </c>
      <c r="B1" s="434"/>
      <c r="C1" s="434"/>
      <c r="D1" s="434"/>
      <c r="E1" s="434"/>
      <c r="F1" s="434"/>
      <c r="G1" s="434"/>
      <c r="H1" s="434"/>
    </row>
    <row r="2" ht="12.75">
      <c r="A2" s="3"/>
    </row>
    <row r="3" spans="1:8" ht="12.75">
      <c r="A3" s="434" t="s">
        <v>260</v>
      </c>
      <c r="B3" s="434"/>
      <c r="C3" s="434"/>
      <c r="D3" s="434"/>
      <c r="E3" s="434"/>
      <c r="F3" s="434"/>
      <c r="G3" s="434"/>
      <c r="H3" s="434"/>
    </row>
    <row r="4" spans="1:8" ht="13.5" thickBot="1">
      <c r="A4" s="11"/>
      <c r="B4" s="11"/>
      <c r="C4" s="11"/>
      <c r="D4" s="11"/>
      <c r="E4" s="11"/>
      <c r="F4" s="11"/>
      <c r="G4" s="11"/>
      <c r="H4" s="11"/>
    </row>
    <row r="5" spans="1:8" ht="13.5" thickTop="1">
      <c r="A5" s="3"/>
      <c r="B5" s="3"/>
      <c r="C5" s="3"/>
      <c r="D5" s="3"/>
      <c r="E5" s="3"/>
      <c r="F5" s="3"/>
      <c r="G5" s="3"/>
      <c r="H5" s="3"/>
    </row>
    <row r="6" spans="1:8" ht="15" customHeight="1">
      <c r="A6" s="3"/>
      <c r="B6" s="456" t="s">
        <v>226</v>
      </c>
      <c r="C6" s="454" t="s">
        <v>279</v>
      </c>
      <c r="D6" s="454" t="s">
        <v>224</v>
      </c>
      <c r="E6" s="454" t="s">
        <v>225</v>
      </c>
      <c r="F6" s="455" t="s">
        <v>223</v>
      </c>
      <c r="G6" s="4"/>
      <c r="H6" s="70" t="s">
        <v>38</v>
      </c>
    </row>
    <row r="7" spans="1:8" ht="12.75">
      <c r="A7" s="3" t="s">
        <v>83</v>
      </c>
      <c r="B7" s="403"/>
      <c r="C7" s="403"/>
      <c r="D7" s="403"/>
      <c r="E7" s="403"/>
      <c r="F7" s="403"/>
      <c r="G7" s="19"/>
      <c r="H7" s="4" t="s">
        <v>54</v>
      </c>
    </row>
    <row r="8" spans="1:8" ht="12.75">
      <c r="A8" s="3" t="s">
        <v>35</v>
      </c>
      <c r="B8" s="403"/>
      <c r="C8" s="403"/>
      <c r="D8" s="403"/>
      <c r="E8" s="403"/>
      <c r="F8" s="403"/>
      <c r="G8" s="4" t="s">
        <v>218</v>
      </c>
      <c r="H8" s="4" t="s">
        <v>53</v>
      </c>
    </row>
    <row r="9" spans="1:8" ht="13.5" thickBot="1">
      <c r="A9" s="7" t="s">
        <v>141</v>
      </c>
      <c r="B9" s="404"/>
      <c r="C9" s="404"/>
      <c r="D9" s="404"/>
      <c r="E9" s="404"/>
      <c r="F9" s="404"/>
      <c r="G9" s="75" t="s">
        <v>219</v>
      </c>
      <c r="H9" s="108" t="s">
        <v>66</v>
      </c>
    </row>
    <row r="10" spans="1:8" s="47" customFormat="1" ht="12.75">
      <c r="A10" s="51" t="s">
        <v>0</v>
      </c>
      <c r="B10" s="190">
        <f aca="true" t="shared" si="0" ref="B10:H10">SUM(B12:B39)</f>
        <v>3647268.8700000006</v>
      </c>
      <c r="C10" s="196">
        <f t="shared" si="0"/>
        <v>24613.35</v>
      </c>
      <c r="D10" s="94">
        <f t="shared" si="0"/>
        <v>47382546.35</v>
      </c>
      <c r="E10" s="190">
        <f t="shared" si="0"/>
        <v>709741.7600000001</v>
      </c>
      <c r="F10" s="63">
        <f t="shared" si="0"/>
        <v>3455314.73</v>
      </c>
      <c r="G10" s="63">
        <f t="shared" si="0"/>
        <v>55090.46</v>
      </c>
      <c r="H10" s="63">
        <f t="shared" si="0"/>
        <v>28484631.46</v>
      </c>
    </row>
    <row r="11" spans="1:8" ht="12.75">
      <c r="A11" s="3"/>
      <c r="B11" s="48"/>
      <c r="C11" s="48"/>
      <c r="D11" s="48"/>
      <c r="E11" s="48"/>
      <c r="F11" s="48"/>
      <c r="G11" s="48"/>
      <c r="H11" s="48"/>
    </row>
    <row r="12" spans="1:8" ht="12.75">
      <c r="A12" s="3" t="s">
        <v>1</v>
      </c>
      <c r="B12" s="101">
        <v>61693.72</v>
      </c>
      <c r="C12" s="101">
        <v>0</v>
      </c>
      <c r="D12" s="101">
        <v>544830.14</v>
      </c>
      <c r="E12" s="101">
        <v>0</v>
      </c>
      <c r="F12" s="101">
        <v>0</v>
      </c>
      <c r="G12" s="101">
        <v>0</v>
      </c>
      <c r="H12" s="101">
        <v>722234.17</v>
      </c>
    </row>
    <row r="13" spans="1:8" ht="12.75">
      <c r="A13" s="3" t="s">
        <v>2</v>
      </c>
      <c r="B13" s="101">
        <v>231054.97</v>
      </c>
      <c r="C13" s="101">
        <v>16306.96</v>
      </c>
      <c r="D13" s="101">
        <v>3969655.07</v>
      </c>
      <c r="E13" s="101">
        <v>59834.84</v>
      </c>
      <c r="F13" s="101">
        <v>0</v>
      </c>
      <c r="G13" s="101">
        <v>0</v>
      </c>
      <c r="H13" s="101">
        <v>1603163.48</v>
      </c>
    </row>
    <row r="14" spans="1:8" ht="12.75">
      <c r="A14" s="3" t="s">
        <v>3</v>
      </c>
      <c r="B14" s="100">
        <v>970170.81</v>
      </c>
      <c r="C14" s="101">
        <v>5525</v>
      </c>
      <c r="D14" s="101">
        <v>16445440.920000002</v>
      </c>
      <c r="E14" s="101">
        <v>68428.85</v>
      </c>
      <c r="F14" s="101">
        <v>0</v>
      </c>
      <c r="G14" s="101">
        <v>0</v>
      </c>
      <c r="H14" s="101">
        <v>3248947.09</v>
      </c>
    </row>
    <row r="15" spans="1:8" ht="12.75">
      <c r="A15" s="3" t="s">
        <v>4</v>
      </c>
      <c r="B15" s="101">
        <v>486635.32</v>
      </c>
      <c r="C15" s="101">
        <v>0</v>
      </c>
      <c r="D15" s="101">
        <v>7727619.23</v>
      </c>
      <c r="E15" s="101">
        <v>105580.61</v>
      </c>
      <c r="F15" s="101">
        <v>499898.25</v>
      </c>
      <c r="G15" s="101">
        <v>0</v>
      </c>
      <c r="H15" s="101">
        <v>1643826.27</v>
      </c>
    </row>
    <row r="16" spans="1:8" ht="12.75">
      <c r="A16" s="3" t="s">
        <v>5</v>
      </c>
      <c r="B16" s="100">
        <v>37335.41</v>
      </c>
      <c r="C16" s="101">
        <v>0</v>
      </c>
      <c r="D16" s="337">
        <v>739336.36</v>
      </c>
      <c r="E16" s="101">
        <v>23031.29</v>
      </c>
      <c r="F16" s="101">
        <v>0</v>
      </c>
      <c r="G16" s="101">
        <v>0</v>
      </c>
      <c r="H16" s="101">
        <v>237352.11</v>
      </c>
    </row>
    <row r="17" spans="1:8" ht="12.75">
      <c r="A17" s="73"/>
      <c r="B17" s="101"/>
      <c r="C17" s="101"/>
      <c r="D17" s="101"/>
      <c r="E17" s="101"/>
      <c r="F17" s="101"/>
      <c r="G17" s="101"/>
      <c r="H17" s="101"/>
    </row>
    <row r="18" spans="1:8" ht="12.75">
      <c r="A18" s="3" t="s">
        <v>6</v>
      </c>
      <c r="B18" s="101">
        <v>30094.24</v>
      </c>
      <c r="C18" s="101">
        <v>0</v>
      </c>
      <c r="D18" s="101">
        <v>601287.23</v>
      </c>
      <c r="E18" s="101">
        <v>0</v>
      </c>
      <c r="F18" s="101">
        <v>0</v>
      </c>
      <c r="G18" s="101">
        <v>0</v>
      </c>
      <c r="H18" s="101">
        <v>0</v>
      </c>
    </row>
    <row r="19" spans="1:8" ht="12.75">
      <c r="A19" s="3" t="s">
        <v>7</v>
      </c>
      <c r="B19" s="101">
        <v>77498.93</v>
      </c>
      <c r="C19" s="101">
        <v>0</v>
      </c>
      <c r="D19" s="101">
        <v>1327346.45</v>
      </c>
      <c r="E19" s="101">
        <v>0</v>
      </c>
      <c r="F19" s="101">
        <v>0</v>
      </c>
      <c r="G19" s="101">
        <v>0</v>
      </c>
      <c r="H19" s="101">
        <v>92710.55</v>
      </c>
    </row>
    <row r="20" spans="1:8" ht="12.75">
      <c r="A20" s="3" t="s">
        <v>8</v>
      </c>
      <c r="B20" s="101">
        <v>58269.89</v>
      </c>
      <c r="C20" s="101">
        <v>0</v>
      </c>
      <c r="D20" s="101">
        <v>834493.7</v>
      </c>
      <c r="E20" s="101">
        <v>0</v>
      </c>
      <c r="F20" s="101">
        <v>0</v>
      </c>
      <c r="G20" s="101">
        <v>0</v>
      </c>
      <c r="H20" s="101">
        <v>55369.34</v>
      </c>
    </row>
    <row r="21" spans="1:8" ht="12.75">
      <c r="A21" s="3" t="s">
        <v>9</v>
      </c>
      <c r="B21" s="101">
        <v>94982.74</v>
      </c>
      <c r="C21" s="101">
        <v>0</v>
      </c>
      <c r="D21" s="101">
        <v>591700.83</v>
      </c>
      <c r="E21" s="101">
        <v>24732.42</v>
      </c>
      <c r="F21" s="101">
        <v>0</v>
      </c>
      <c r="G21" s="101">
        <v>0</v>
      </c>
      <c r="H21" s="101">
        <v>287526.68</v>
      </c>
    </row>
    <row r="22" spans="1:8" ht="12.75">
      <c r="A22" s="3" t="s">
        <v>10</v>
      </c>
      <c r="B22" s="101">
        <v>35117.29</v>
      </c>
      <c r="C22" s="101">
        <v>0</v>
      </c>
      <c r="D22" s="101">
        <v>896988.18</v>
      </c>
      <c r="E22" s="101">
        <v>0</v>
      </c>
      <c r="F22" s="101">
        <v>0</v>
      </c>
      <c r="G22" s="101">
        <v>0</v>
      </c>
      <c r="H22" s="101">
        <v>0</v>
      </c>
    </row>
    <row r="23" spans="1:8" ht="12.75">
      <c r="A23" s="3"/>
      <c r="B23" s="101"/>
      <c r="C23" s="101"/>
      <c r="D23" s="101"/>
      <c r="E23" s="101"/>
      <c r="F23" s="101"/>
      <c r="G23" s="101"/>
      <c r="H23" s="101"/>
    </row>
    <row r="24" spans="1:8" ht="12.75">
      <c r="A24" s="3" t="s">
        <v>11</v>
      </c>
      <c r="B24" s="101">
        <v>105859</v>
      </c>
      <c r="C24" s="101">
        <v>106</v>
      </c>
      <c r="D24" s="101">
        <v>927204.33</v>
      </c>
      <c r="E24" s="101">
        <v>43253.41</v>
      </c>
      <c r="F24" s="101">
        <v>0</v>
      </c>
      <c r="G24" s="101">
        <v>0</v>
      </c>
      <c r="H24" s="101">
        <v>0</v>
      </c>
    </row>
    <row r="25" spans="1:8" ht="12.75">
      <c r="A25" s="3" t="s">
        <v>12</v>
      </c>
      <c r="B25" s="101">
        <v>28513.72</v>
      </c>
      <c r="C25" s="101">
        <v>2569.39</v>
      </c>
      <c r="D25" s="101">
        <v>485746.5</v>
      </c>
      <c r="E25" s="101">
        <v>0</v>
      </c>
      <c r="F25" s="101">
        <v>0</v>
      </c>
      <c r="G25" s="101">
        <v>0</v>
      </c>
      <c r="H25" s="101">
        <v>138747.94</v>
      </c>
    </row>
    <row r="26" spans="1:8" ht="12.75">
      <c r="A26" s="3" t="s">
        <v>13</v>
      </c>
      <c r="B26" s="101">
        <v>134362.88</v>
      </c>
      <c r="C26" s="101">
        <v>0</v>
      </c>
      <c r="D26" s="101">
        <v>1011269.33</v>
      </c>
      <c r="E26" s="101">
        <v>15555.67</v>
      </c>
      <c r="F26" s="101">
        <v>0</v>
      </c>
      <c r="G26" s="101">
        <v>0</v>
      </c>
      <c r="H26" s="101">
        <v>856889.61</v>
      </c>
    </row>
    <row r="27" spans="1:8" ht="12.75">
      <c r="A27" s="3" t="s">
        <v>14</v>
      </c>
      <c r="B27" s="101">
        <v>85236.62</v>
      </c>
      <c r="C27" s="101">
        <v>0</v>
      </c>
      <c r="D27" s="101">
        <v>536446.08</v>
      </c>
      <c r="E27" s="101">
        <v>78630.62</v>
      </c>
      <c r="F27" s="101">
        <v>0</v>
      </c>
      <c r="G27" s="101">
        <v>0</v>
      </c>
      <c r="H27" s="101">
        <v>558466.84</v>
      </c>
    </row>
    <row r="28" spans="1:8" ht="12.75">
      <c r="A28" s="3" t="s">
        <v>15</v>
      </c>
      <c r="B28" s="337">
        <v>12007.02</v>
      </c>
      <c r="C28" s="101">
        <v>0</v>
      </c>
      <c r="D28" s="101">
        <v>140725</v>
      </c>
      <c r="E28" s="101">
        <v>645.9</v>
      </c>
      <c r="F28" s="101">
        <v>0</v>
      </c>
      <c r="G28" s="101">
        <v>0</v>
      </c>
      <c r="H28" s="101">
        <v>25000</v>
      </c>
    </row>
    <row r="29" spans="1:8" ht="12.75">
      <c r="A29" s="3"/>
      <c r="B29" s="101"/>
      <c r="C29" s="101"/>
      <c r="D29" s="101"/>
      <c r="E29" s="101"/>
      <c r="F29" s="101"/>
      <c r="G29" s="101"/>
      <c r="H29" s="101"/>
    </row>
    <row r="30" spans="1:8" ht="12.75">
      <c r="A30" s="3" t="s">
        <v>16</v>
      </c>
      <c r="B30" s="101">
        <v>516246.57</v>
      </c>
      <c r="C30" s="101">
        <v>0</v>
      </c>
      <c r="D30" s="101">
        <v>3002186.04</v>
      </c>
      <c r="E30" s="337">
        <v>141294.7</v>
      </c>
      <c r="F30" s="101">
        <v>0</v>
      </c>
      <c r="G30" s="101">
        <v>0</v>
      </c>
      <c r="H30" s="101">
        <v>8296333.66</v>
      </c>
    </row>
    <row r="31" spans="1:8" ht="12.75">
      <c r="A31" s="3" t="s">
        <v>17</v>
      </c>
      <c r="B31" s="101">
        <v>320721.96</v>
      </c>
      <c r="C31" s="101">
        <v>0</v>
      </c>
      <c r="D31" s="101">
        <v>3939571.78</v>
      </c>
      <c r="E31" s="337">
        <v>106035.3</v>
      </c>
      <c r="F31" s="101">
        <v>2906713.45</v>
      </c>
      <c r="G31" s="101">
        <v>55090.46</v>
      </c>
      <c r="H31" s="101">
        <v>8128853.800000002</v>
      </c>
    </row>
    <row r="32" spans="1:8" ht="12.75">
      <c r="A32" s="3" t="s">
        <v>18</v>
      </c>
      <c r="B32" s="101">
        <v>22099.94</v>
      </c>
      <c r="C32" s="101">
        <v>0</v>
      </c>
      <c r="D32" s="101">
        <v>296590.79</v>
      </c>
      <c r="E32" s="101">
        <v>0</v>
      </c>
      <c r="F32" s="101">
        <v>0</v>
      </c>
      <c r="G32" s="101">
        <v>0</v>
      </c>
      <c r="H32" s="101">
        <v>293780.08</v>
      </c>
    </row>
    <row r="33" spans="1:8" ht="12.75">
      <c r="A33" s="3" t="s">
        <v>19</v>
      </c>
      <c r="B33" s="101">
        <v>58075.87</v>
      </c>
      <c r="C33" s="101">
        <v>0</v>
      </c>
      <c r="D33" s="101">
        <v>353340.85</v>
      </c>
      <c r="E33" s="101">
        <v>24107.08</v>
      </c>
      <c r="F33" s="101">
        <v>0</v>
      </c>
      <c r="G33" s="101">
        <v>0</v>
      </c>
      <c r="H33" s="101">
        <v>551726.06</v>
      </c>
    </row>
    <row r="34" spans="1:8" ht="12.75">
      <c r="A34" s="3" t="s">
        <v>20</v>
      </c>
      <c r="B34" s="101">
        <v>26024.85</v>
      </c>
      <c r="C34" s="101">
        <v>0</v>
      </c>
      <c r="D34" s="101">
        <v>328187.52</v>
      </c>
      <c r="E34" s="101">
        <v>0</v>
      </c>
      <c r="F34" s="101">
        <v>0</v>
      </c>
      <c r="G34" s="101">
        <v>0</v>
      </c>
      <c r="H34" s="101">
        <v>1139009.3</v>
      </c>
    </row>
    <row r="35" spans="1:8" ht="12.75">
      <c r="A35" s="3"/>
      <c r="B35" s="101"/>
      <c r="C35" s="101"/>
      <c r="D35" s="101"/>
      <c r="E35" s="101"/>
      <c r="F35" s="101"/>
      <c r="G35" s="101"/>
      <c r="H35" s="101"/>
    </row>
    <row r="36" spans="1:8" ht="12.75">
      <c r="A36" s="3" t="s">
        <v>21</v>
      </c>
      <c r="B36" s="101">
        <v>26786.56</v>
      </c>
      <c r="C36" s="101">
        <v>0</v>
      </c>
      <c r="D36" s="101">
        <v>133322.09</v>
      </c>
      <c r="E36" s="101">
        <v>7734.77</v>
      </c>
      <c r="F36" s="194">
        <v>0</v>
      </c>
      <c r="G36" s="101">
        <v>0</v>
      </c>
      <c r="H36" s="101">
        <v>0</v>
      </c>
    </row>
    <row r="37" spans="1:8" ht="12.75">
      <c r="A37" s="3" t="s">
        <v>22</v>
      </c>
      <c r="B37" s="101">
        <v>106294.37</v>
      </c>
      <c r="C37" s="101">
        <v>106</v>
      </c>
      <c r="D37" s="101">
        <v>839483.36</v>
      </c>
      <c r="E37" s="101">
        <v>0</v>
      </c>
      <c r="F37" s="194">
        <v>0</v>
      </c>
      <c r="G37" s="101">
        <v>0</v>
      </c>
      <c r="H37" s="101">
        <v>124223.51</v>
      </c>
    </row>
    <row r="38" spans="1:8" ht="12.75">
      <c r="A38" s="3" t="s">
        <v>23</v>
      </c>
      <c r="B38" s="101">
        <v>91033.74</v>
      </c>
      <c r="C38" s="101">
        <v>0</v>
      </c>
      <c r="D38" s="101">
        <v>1168220.07</v>
      </c>
      <c r="E38" s="101">
        <v>0</v>
      </c>
      <c r="F38" s="101">
        <v>48703.03</v>
      </c>
      <c r="G38" s="101">
        <v>0</v>
      </c>
      <c r="H38" s="101">
        <v>43605.54</v>
      </c>
    </row>
    <row r="39" spans="1:8" ht="12.75">
      <c r="A39" s="12" t="s">
        <v>24</v>
      </c>
      <c r="B39" s="339">
        <v>31152.45</v>
      </c>
      <c r="C39" s="339">
        <v>0</v>
      </c>
      <c r="D39" s="339">
        <v>541554.5</v>
      </c>
      <c r="E39" s="339">
        <v>10876.3</v>
      </c>
      <c r="F39" s="339">
        <v>0</v>
      </c>
      <c r="G39" s="339">
        <v>0</v>
      </c>
      <c r="H39" s="339">
        <v>436865.43</v>
      </c>
    </row>
    <row r="40" spans="1:8" ht="12.75">
      <c r="A40" s="3"/>
      <c r="B40" s="101"/>
      <c r="C40" s="101"/>
      <c r="D40" s="101"/>
      <c r="E40" s="101"/>
      <c r="F40" s="101"/>
      <c r="G40" s="101"/>
      <c r="H40" s="101"/>
    </row>
    <row r="41" spans="1:8" ht="12.75">
      <c r="A41" s="3"/>
      <c r="B41" s="15"/>
      <c r="C41" s="15"/>
      <c r="D41" s="15"/>
      <c r="E41" s="15"/>
      <c r="F41" s="15"/>
      <c r="G41" s="15"/>
      <c r="H41" s="15"/>
    </row>
    <row r="42" spans="1:8" ht="12.75">
      <c r="A42" s="3"/>
      <c r="B42" s="15"/>
      <c r="C42" s="15"/>
      <c r="D42" s="15"/>
      <c r="E42" s="15"/>
      <c r="F42" s="15"/>
      <c r="G42" s="15"/>
      <c r="H42" s="15"/>
    </row>
    <row r="43" spans="1:8" ht="12.75">
      <c r="A43" s="3"/>
      <c r="B43" s="15"/>
      <c r="C43" s="15"/>
      <c r="D43" s="15"/>
      <c r="E43" s="15"/>
      <c r="F43" s="15"/>
      <c r="G43" s="15"/>
      <c r="H43" s="15"/>
    </row>
    <row r="44" spans="1:8" ht="12.75">
      <c r="A44" s="3"/>
      <c r="B44" s="15"/>
      <c r="C44" s="15"/>
      <c r="D44" s="15"/>
      <c r="E44" s="15"/>
      <c r="F44" s="15"/>
      <c r="G44" s="15"/>
      <c r="H44" s="15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</sheetData>
  <sheetProtection password="CAF5" sheet="1"/>
  <mergeCells count="7">
    <mergeCell ref="A1:H1"/>
    <mergeCell ref="A3:H3"/>
    <mergeCell ref="C6:C9"/>
    <mergeCell ref="F6:F9"/>
    <mergeCell ref="D6:D9"/>
    <mergeCell ref="E6:E9"/>
    <mergeCell ref="B6:B9"/>
  </mergeCells>
  <printOptions horizontalCentered="1"/>
  <pageMargins left="0.69" right="0.65" top="0.83" bottom="1.2" header="0.67" footer="0.5"/>
  <pageSetup fitToHeight="1" fitToWidth="1" horizontalDpi="600" verticalDpi="600" orientation="landscape" scale="94" r:id="rId1"/>
  <headerFooter alignWithMargins="0">
    <oddHeader>&amp;R
</oddHeader>
    <oddFooter>&amp;L&amp;"Arial,Italic"&amp;9MSDE-DBS  10 / 2009&amp;C- 16 -&amp;R&amp;"Arial,Italic"&amp;9Selected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view="pageLayout" workbookViewId="0" topLeftCell="E4">
      <selection activeCell="G17" sqref="G17"/>
    </sheetView>
  </sheetViews>
  <sheetFormatPr defaultColWidth="11.421875" defaultRowHeight="12.75"/>
  <cols>
    <col min="1" max="1" width="17.57421875" style="24" customWidth="1"/>
    <col min="2" max="2" width="12.00390625" style="302" customWidth="1"/>
    <col min="3" max="3" width="17.7109375" style="302" customWidth="1"/>
    <col min="4" max="4" width="17.57421875" style="302" bestFit="1" customWidth="1"/>
    <col min="5" max="5" width="14.140625" style="302" customWidth="1"/>
    <col min="6" max="6" width="14.00390625" style="302" customWidth="1"/>
    <col min="7" max="7" width="15.57421875" style="302" customWidth="1"/>
    <col min="8" max="8" width="17.421875" style="302" customWidth="1"/>
    <col min="9" max="9" width="14.7109375" style="302" customWidth="1"/>
    <col min="10" max="10" width="10.8515625" style="302" customWidth="1"/>
    <col min="11" max="11" width="14.7109375" style="302" customWidth="1"/>
    <col min="12" max="12" width="12.57421875" style="302" customWidth="1"/>
    <col min="13" max="16384" width="11.421875" style="24" customWidth="1"/>
  </cols>
  <sheetData>
    <row r="1" spans="1:12" ht="12.75">
      <c r="A1" s="22" t="s">
        <v>99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2.75">
      <c r="A2" s="22"/>
      <c r="B2" s="291"/>
      <c r="C2" s="291"/>
      <c r="D2" s="291"/>
      <c r="E2" s="291"/>
      <c r="F2" s="291"/>
      <c r="G2" s="291"/>
      <c r="H2" s="291"/>
      <c r="I2" s="291"/>
      <c r="J2" s="292"/>
      <c r="K2" s="292"/>
      <c r="L2" s="291"/>
    </row>
    <row r="3" spans="1:12" ht="12.75">
      <c r="A3" s="332" t="s">
        <v>268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3.5" thickBot="1">
      <c r="A4" s="5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5" customHeight="1" thickTop="1">
      <c r="A5" s="459" t="s">
        <v>190</v>
      </c>
      <c r="B5" s="458" t="s">
        <v>269</v>
      </c>
      <c r="C5" s="457" t="s">
        <v>230</v>
      </c>
      <c r="D5" s="457" t="s">
        <v>192</v>
      </c>
      <c r="E5" s="458" t="s">
        <v>270</v>
      </c>
      <c r="F5" s="458" t="s">
        <v>271</v>
      </c>
      <c r="G5" s="397" t="s">
        <v>100</v>
      </c>
      <c r="H5" s="397"/>
      <c r="I5" s="397"/>
      <c r="J5" s="397"/>
      <c r="K5" s="397"/>
      <c r="L5" s="397"/>
    </row>
    <row r="6" spans="1:12" ht="12.75">
      <c r="A6" s="415"/>
      <c r="B6" s="410"/>
      <c r="C6" s="410"/>
      <c r="D6" s="410"/>
      <c r="E6" s="410"/>
      <c r="F6" s="410"/>
      <c r="G6" s="402" t="s">
        <v>193</v>
      </c>
      <c r="H6" s="461" t="s">
        <v>272</v>
      </c>
      <c r="I6" s="402" t="s">
        <v>253</v>
      </c>
      <c r="J6" s="402" t="s">
        <v>231</v>
      </c>
      <c r="K6" s="402" t="s">
        <v>189</v>
      </c>
      <c r="L6" s="402" t="s">
        <v>191</v>
      </c>
    </row>
    <row r="7" spans="1:12" ht="12.75">
      <c r="A7" s="415"/>
      <c r="B7" s="410"/>
      <c r="C7" s="410"/>
      <c r="D7" s="410"/>
      <c r="E7" s="410"/>
      <c r="F7" s="410"/>
      <c r="G7" s="410"/>
      <c r="H7" s="410"/>
      <c r="I7" s="460"/>
      <c r="J7" s="460"/>
      <c r="K7" s="410"/>
      <c r="L7" s="410"/>
    </row>
    <row r="8" spans="1:12" ht="12.75">
      <c r="A8" s="415"/>
      <c r="B8" s="410"/>
      <c r="C8" s="410"/>
      <c r="D8" s="410"/>
      <c r="E8" s="410"/>
      <c r="F8" s="410"/>
      <c r="G8" s="410"/>
      <c r="H8" s="410"/>
      <c r="I8" s="460"/>
      <c r="J8" s="460"/>
      <c r="K8" s="410"/>
      <c r="L8" s="410"/>
    </row>
    <row r="9" spans="1:12" ht="13.5" thickBot="1">
      <c r="A9" s="416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</row>
    <row r="10" spans="1:12" ht="12.75">
      <c r="A10" s="32" t="s">
        <v>0</v>
      </c>
      <c r="B10" s="227">
        <f>SUM(B12:B39)</f>
        <v>823731.75</v>
      </c>
      <c r="C10" s="294">
        <f>SUM(C12:C39)</f>
        <v>327527421196</v>
      </c>
      <c r="D10" s="295">
        <f>+C10/B10</f>
        <v>397614.17621209816</v>
      </c>
      <c r="E10" s="294">
        <f aca="true" t="shared" si="0" ref="E10:K10">SUM(E12:E39)</f>
        <v>5514060338</v>
      </c>
      <c r="F10" s="294">
        <f t="shared" si="0"/>
        <v>2757027573</v>
      </c>
      <c r="G10" s="294">
        <f t="shared" si="0"/>
        <v>2757032765</v>
      </c>
      <c r="H10" s="294">
        <f t="shared" si="0"/>
        <v>827109052</v>
      </c>
      <c r="I10" s="294">
        <f t="shared" si="0"/>
        <v>2782717320</v>
      </c>
      <c r="J10" s="196">
        <f t="shared" si="0"/>
        <v>0</v>
      </c>
      <c r="K10" s="294">
        <f t="shared" si="0"/>
        <v>2782717320</v>
      </c>
      <c r="L10" s="296">
        <f>K10/B10</f>
        <v>3378.1838808568446</v>
      </c>
    </row>
    <row r="11" spans="1:12" ht="12.75">
      <c r="A11" s="23"/>
      <c r="B11" s="259"/>
      <c r="C11" s="259"/>
      <c r="D11" s="297"/>
      <c r="E11" s="259"/>
      <c r="F11" s="298"/>
      <c r="G11" s="259"/>
      <c r="H11" s="259"/>
      <c r="I11" s="259"/>
      <c r="J11" s="259"/>
      <c r="K11" s="259"/>
      <c r="L11" s="299"/>
    </row>
    <row r="12" spans="1:12" ht="12.75">
      <c r="A12" s="23" t="s">
        <v>1</v>
      </c>
      <c r="B12" s="300">
        <v>9081</v>
      </c>
      <c r="C12" s="301">
        <v>1931761293</v>
      </c>
      <c r="D12" s="306">
        <f>+C12/B12</f>
        <v>212725.61314833167</v>
      </c>
      <c r="E12" s="100">
        <v>60788214</v>
      </c>
      <c r="F12" s="301">
        <v>16260987</v>
      </c>
      <c r="G12" s="304">
        <f>+E12-F12</f>
        <v>44527227</v>
      </c>
      <c r="H12" s="307">
        <v>9118232</v>
      </c>
      <c r="I12" s="307">
        <f>IF(G12&gt;H12,G12,H12)</f>
        <v>44527227</v>
      </c>
      <c r="J12" s="308">
        <v>0</v>
      </c>
      <c r="K12" s="309">
        <f>I12+J12</f>
        <v>44527227</v>
      </c>
      <c r="L12" s="303">
        <f>K12/B12</f>
        <v>4903.3396101750905</v>
      </c>
    </row>
    <row r="13" spans="1:12" ht="12.75">
      <c r="A13" s="23" t="s">
        <v>2</v>
      </c>
      <c r="B13" s="300">
        <v>71682.5</v>
      </c>
      <c r="C13" s="301">
        <v>36218557894</v>
      </c>
      <c r="D13" s="306">
        <f>+C13/B13</f>
        <v>505263.5984236041</v>
      </c>
      <c r="E13" s="100">
        <v>479842655</v>
      </c>
      <c r="F13" s="301">
        <v>304876955</v>
      </c>
      <c r="G13" s="304">
        <f>+E13-F13</f>
        <v>174965700</v>
      </c>
      <c r="H13" s="307">
        <v>71976398</v>
      </c>
      <c r="I13" s="307">
        <f>IF(G13&gt;H13,G13,H13)</f>
        <v>174965700</v>
      </c>
      <c r="J13" s="308">
        <v>0</v>
      </c>
      <c r="K13" s="309">
        <f>I13+J13</f>
        <v>174965700</v>
      </c>
      <c r="L13" s="303">
        <f>K13/B13</f>
        <v>2440.8426045408573</v>
      </c>
    </row>
    <row r="14" spans="1:12" ht="12.75">
      <c r="A14" s="23" t="s">
        <v>3</v>
      </c>
      <c r="B14" s="300">
        <v>80655</v>
      </c>
      <c r="C14" s="301">
        <v>16679733057</v>
      </c>
      <c r="D14" s="306">
        <f>+C14/B14</f>
        <v>206803.45988469408</v>
      </c>
      <c r="E14" s="100">
        <v>539904570</v>
      </c>
      <c r="F14" s="301">
        <v>140404989</v>
      </c>
      <c r="G14" s="304">
        <f>+E14-F14</f>
        <v>399499581</v>
      </c>
      <c r="H14" s="307">
        <v>80985686</v>
      </c>
      <c r="I14" s="307">
        <f>IF(G14&gt;H14,G14,H14)</f>
        <v>399499581</v>
      </c>
      <c r="J14" s="308">
        <v>0</v>
      </c>
      <c r="K14" s="309">
        <f>I14+J14</f>
        <v>399499581</v>
      </c>
      <c r="L14" s="303">
        <f>K14/B14</f>
        <v>4953.190515157151</v>
      </c>
    </row>
    <row r="15" spans="1:12" ht="12.75">
      <c r="A15" s="23" t="s">
        <v>4</v>
      </c>
      <c r="B15" s="300">
        <v>101716.25</v>
      </c>
      <c r="C15" s="301">
        <v>41135261393</v>
      </c>
      <c r="D15" s="306">
        <f>+C15/B15</f>
        <v>404411.8947857397</v>
      </c>
      <c r="E15" s="100">
        <v>680888578</v>
      </c>
      <c r="F15" s="301">
        <v>346264290</v>
      </c>
      <c r="G15" s="304">
        <f>+E15-F15</f>
        <v>334624288</v>
      </c>
      <c r="H15" s="307">
        <v>102133287</v>
      </c>
      <c r="I15" s="307">
        <f>IF(G15&gt;H15,G15,H15)</f>
        <v>334624288</v>
      </c>
      <c r="J15" s="308">
        <v>0</v>
      </c>
      <c r="K15" s="309">
        <f>I15+J15</f>
        <v>334624288</v>
      </c>
      <c r="L15" s="303">
        <f>K15/B15</f>
        <v>3289.7819964853206</v>
      </c>
    </row>
    <row r="16" spans="1:12" ht="12.75">
      <c r="A16" s="23" t="s">
        <v>5</v>
      </c>
      <c r="B16" s="300">
        <v>17014.5</v>
      </c>
      <c r="C16" s="301">
        <v>5888650271</v>
      </c>
      <c r="D16" s="306">
        <f>+C16/B16</f>
        <v>346095.9928884187</v>
      </c>
      <c r="E16" s="100">
        <v>113895063</v>
      </c>
      <c r="F16" s="301">
        <v>49568891</v>
      </c>
      <c r="G16" s="304">
        <f>+E16-F16</f>
        <v>64326172</v>
      </c>
      <c r="H16" s="307">
        <v>17084259</v>
      </c>
      <c r="I16" s="307">
        <f>IF(G16&gt;H16,G16,H16)</f>
        <v>64326172</v>
      </c>
      <c r="J16" s="308">
        <v>0</v>
      </c>
      <c r="K16" s="309">
        <f>I16+J16</f>
        <v>64326172</v>
      </c>
      <c r="L16" s="303">
        <f>K16/B16</f>
        <v>3780.6677833612507</v>
      </c>
    </row>
    <row r="17" spans="1:12" ht="12.75">
      <c r="A17" s="23"/>
      <c r="C17" s="304"/>
      <c r="D17" s="310"/>
      <c r="E17" s="138"/>
      <c r="G17" s="304"/>
      <c r="H17" s="307"/>
      <c r="J17" s="304"/>
      <c r="K17" s="304"/>
      <c r="L17" s="303"/>
    </row>
    <row r="18" spans="1:12" ht="12.75">
      <c r="A18" s="23" t="s">
        <v>6</v>
      </c>
      <c r="B18" s="300">
        <v>5309</v>
      </c>
      <c r="C18" s="301">
        <v>1230927951</v>
      </c>
      <c r="D18" s="306">
        <f>+C18/B18</f>
        <v>231856.83763420605</v>
      </c>
      <c r="E18" s="100">
        <v>35538446</v>
      </c>
      <c r="F18" s="301">
        <v>10361582</v>
      </c>
      <c r="G18" s="304">
        <f>+E18-F18</f>
        <v>25176864</v>
      </c>
      <c r="H18" s="307">
        <v>5330767</v>
      </c>
      <c r="I18" s="307">
        <f>IF(G18&gt;H18,G18,H18)</f>
        <v>25176864</v>
      </c>
      <c r="J18" s="308">
        <v>0</v>
      </c>
      <c r="K18" s="309">
        <f>I18+J18</f>
        <v>25176864</v>
      </c>
      <c r="L18" s="303">
        <f>K18/B18</f>
        <v>4742.298737992089</v>
      </c>
    </row>
    <row r="19" spans="1:12" ht="12.75">
      <c r="A19" s="23" t="s">
        <v>7</v>
      </c>
      <c r="B19" s="300">
        <v>28319</v>
      </c>
      <c r="C19" s="301">
        <v>9535313583</v>
      </c>
      <c r="D19" s="306">
        <f>+C19/B19</f>
        <v>336710.81545958546</v>
      </c>
      <c r="E19" s="100">
        <v>189567386</v>
      </c>
      <c r="F19" s="301">
        <v>80265409</v>
      </c>
      <c r="G19" s="304">
        <f>+E19-F19</f>
        <v>109301977</v>
      </c>
      <c r="H19" s="307">
        <v>28435108</v>
      </c>
      <c r="I19" s="307">
        <f>IF(G19&gt;H19,G19,H19)</f>
        <v>109301977</v>
      </c>
      <c r="J19" s="308">
        <v>0</v>
      </c>
      <c r="K19" s="309">
        <f>I19+J19</f>
        <v>109301977</v>
      </c>
      <c r="L19" s="303">
        <f>K19/B19</f>
        <v>3859.6693739185707</v>
      </c>
    </row>
    <row r="20" spans="1:12" ht="12.75">
      <c r="A20" s="23" t="s">
        <v>8</v>
      </c>
      <c r="B20" s="300">
        <v>15923</v>
      </c>
      <c r="C20" s="301">
        <v>4697568388</v>
      </c>
      <c r="D20" s="306">
        <f>+C20/B20</f>
        <v>295017.79739998747</v>
      </c>
      <c r="E20" s="100">
        <v>106588562</v>
      </c>
      <c r="F20" s="301">
        <v>39542721</v>
      </c>
      <c r="G20" s="304">
        <f>+E20-F20</f>
        <v>67045841</v>
      </c>
      <c r="H20" s="307">
        <v>15988284</v>
      </c>
      <c r="I20" s="307">
        <f>IF(G20&gt;H20,G20,H20)</f>
        <v>67045841</v>
      </c>
      <c r="J20" s="308">
        <v>0</v>
      </c>
      <c r="K20" s="309">
        <f>I20+J20</f>
        <v>67045841</v>
      </c>
      <c r="L20" s="303">
        <f>K20/B20</f>
        <v>4210.628713182189</v>
      </c>
    </row>
    <row r="21" spans="1:12" ht="12.75">
      <c r="A21" s="23" t="s">
        <v>9</v>
      </c>
      <c r="B21" s="300">
        <v>25796.75</v>
      </c>
      <c r="C21" s="301">
        <v>7833568195</v>
      </c>
      <c r="D21" s="306">
        <f>+C21/B21</f>
        <v>303664.9265895898</v>
      </c>
      <c r="E21" s="100">
        <v>172683445</v>
      </c>
      <c r="F21" s="301">
        <v>65940627</v>
      </c>
      <c r="G21" s="304">
        <f>+E21-F21</f>
        <v>106742818</v>
      </c>
      <c r="H21" s="307">
        <v>25902517</v>
      </c>
      <c r="I21" s="307">
        <f>IF(G21&gt;H21,G21,H21)</f>
        <v>106742818</v>
      </c>
      <c r="J21" s="308">
        <v>0</v>
      </c>
      <c r="K21" s="309">
        <f>I21+J21</f>
        <v>106742818</v>
      </c>
      <c r="L21" s="303">
        <f>K21/B21</f>
        <v>4137.83976663727</v>
      </c>
    </row>
    <row r="22" spans="1:12" ht="12.75">
      <c r="A22" s="23" t="s">
        <v>10</v>
      </c>
      <c r="B22" s="300">
        <v>4457.75</v>
      </c>
      <c r="C22" s="301">
        <v>1351947297</v>
      </c>
      <c r="D22" s="306">
        <f>+C22/B22</f>
        <v>303280.19673602155</v>
      </c>
      <c r="E22" s="100">
        <v>29840179</v>
      </c>
      <c r="F22" s="301">
        <v>11380287</v>
      </c>
      <c r="G22" s="304">
        <f>+E22-F22</f>
        <v>18459892</v>
      </c>
      <c r="H22" s="307">
        <v>4476027</v>
      </c>
      <c r="I22" s="307">
        <f>IF(G22&gt;H22,G22,H22)</f>
        <v>18459892</v>
      </c>
      <c r="J22" s="308">
        <v>0</v>
      </c>
      <c r="K22" s="309">
        <f>I22+J22</f>
        <v>18459892</v>
      </c>
      <c r="L22" s="303">
        <f>K22/B22</f>
        <v>4141.078346699568</v>
      </c>
    </row>
    <row r="23" spans="1:12" ht="12.75">
      <c r="A23" s="23"/>
      <c r="B23" s="303"/>
      <c r="C23" s="304"/>
      <c r="D23" s="306"/>
      <c r="E23" s="138"/>
      <c r="F23" s="304"/>
      <c r="G23" s="304"/>
      <c r="H23" s="307"/>
      <c r="I23" s="304"/>
      <c r="J23" s="304"/>
      <c r="K23" s="304"/>
      <c r="L23" s="303"/>
    </row>
    <row r="24" spans="1:12" ht="12.75">
      <c r="A24" s="23" t="s">
        <v>11</v>
      </c>
      <c r="B24" s="300">
        <v>39338</v>
      </c>
      <c r="C24" s="301">
        <v>13503516346</v>
      </c>
      <c r="D24" s="306">
        <f>+C24/B24</f>
        <v>343269.01077838225</v>
      </c>
      <c r="E24" s="100">
        <v>263328572</v>
      </c>
      <c r="F24" s="301">
        <v>113668550</v>
      </c>
      <c r="G24" s="304">
        <f>+E24-F24</f>
        <v>149660022</v>
      </c>
      <c r="H24" s="307">
        <v>39499286</v>
      </c>
      <c r="I24" s="307">
        <f>IF(G24&gt;H24,G24,H24)</f>
        <v>149660022</v>
      </c>
      <c r="J24" s="308">
        <v>0</v>
      </c>
      <c r="K24" s="309">
        <f>I24+J24</f>
        <v>149660022</v>
      </c>
      <c r="L24" s="303">
        <f>K24/B24</f>
        <v>3804.4644364227975</v>
      </c>
    </row>
    <row r="25" spans="1:12" ht="12.75">
      <c r="A25" s="23" t="s">
        <v>12</v>
      </c>
      <c r="B25" s="300">
        <v>4517.75</v>
      </c>
      <c r="C25" s="301">
        <v>1723337154</v>
      </c>
      <c r="D25" s="306">
        <f>+C25/B25</f>
        <v>381459.16750594875</v>
      </c>
      <c r="E25" s="100">
        <v>30241819</v>
      </c>
      <c r="F25" s="301">
        <v>14506535</v>
      </c>
      <c r="G25" s="304">
        <f>+E25-F25</f>
        <v>15735284</v>
      </c>
      <c r="H25" s="307">
        <v>4536273</v>
      </c>
      <c r="I25" s="307">
        <f>IF(G25&gt;H25,G25,H25)</f>
        <v>15735284</v>
      </c>
      <c r="J25" s="308">
        <v>0</v>
      </c>
      <c r="K25" s="309">
        <f>I25+J25</f>
        <v>15735284</v>
      </c>
      <c r="L25" s="303">
        <f>K25/B25</f>
        <v>3482.991312046926</v>
      </c>
    </row>
    <row r="26" spans="1:12" ht="12.75">
      <c r="A26" s="23" t="s">
        <v>13</v>
      </c>
      <c r="B26" s="300">
        <v>38619.75</v>
      </c>
      <c r="C26" s="301">
        <v>12643742395</v>
      </c>
      <c r="D26" s="306">
        <f>+C26/B26</f>
        <v>327390.58111458516</v>
      </c>
      <c r="E26" s="100">
        <v>258520607</v>
      </c>
      <c r="F26" s="301">
        <v>106431230</v>
      </c>
      <c r="G26" s="304">
        <f>+E26-F26</f>
        <v>152089377</v>
      </c>
      <c r="H26" s="307">
        <v>38778091</v>
      </c>
      <c r="I26" s="307">
        <f>IF(G26&gt;H26,G26,H26)</f>
        <v>152089377</v>
      </c>
      <c r="J26" s="308">
        <v>0</v>
      </c>
      <c r="K26" s="309">
        <f>I26+J26</f>
        <v>152089377</v>
      </c>
      <c r="L26" s="303">
        <f>K26/B26</f>
        <v>3938.124327578506</v>
      </c>
    </row>
    <row r="27" spans="1:12" ht="12.75">
      <c r="A27" s="23" t="s">
        <v>14</v>
      </c>
      <c r="B27" s="300">
        <v>48107.25</v>
      </c>
      <c r="C27" s="301">
        <v>21965423561</v>
      </c>
      <c r="D27" s="306">
        <f>+C27/B27</f>
        <v>456592.7913360252</v>
      </c>
      <c r="E27" s="100">
        <v>322029932</v>
      </c>
      <c r="F27" s="301">
        <v>184898346</v>
      </c>
      <c r="G27" s="304">
        <f>+E27-F27</f>
        <v>137131586</v>
      </c>
      <c r="H27" s="307">
        <v>48304490</v>
      </c>
      <c r="I27" s="307">
        <f>IF(G27&gt;H27,G27,H27)</f>
        <v>137131586</v>
      </c>
      <c r="J27" s="308">
        <v>0</v>
      </c>
      <c r="K27" s="309">
        <f>I27+J27</f>
        <v>137131586</v>
      </c>
      <c r="L27" s="303">
        <f>K27/B27</f>
        <v>2850.5388688815096</v>
      </c>
    </row>
    <row r="28" spans="1:12" ht="12.75">
      <c r="A28" s="23" t="s">
        <v>15</v>
      </c>
      <c r="B28" s="300">
        <v>2220</v>
      </c>
      <c r="C28" s="301">
        <v>1186196189</v>
      </c>
      <c r="D28" s="306">
        <f>+C28/B28</f>
        <v>534322.6076576577</v>
      </c>
      <c r="E28" s="100">
        <v>14860680</v>
      </c>
      <c r="F28" s="301">
        <v>9985044</v>
      </c>
      <c r="G28" s="304">
        <f>+E28-F28</f>
        <v>4875636</v>
      </c>
      <c r="H28" s="307">
        <v>2229102</v>
      </c>
      <c r="I28" s="307">
        <f>IF(G28&gt;H28,G28,H28)</f>
        <v>4875636</v>
      </c>
      <c r="J28" s="308">
        <v>0</v>
      </c>
      <c r="K28" s="309">
        <f>I28+J28</f>
        <v>4875636</v>
      </c>
      <c r="L28" s="303">
        <f>K28/B28</f>
        <v>2196.2324324324322</v>
      </c>
    </row>
    <row r="29" spans="1:12" ht="12.75">
      <c r="A29" s="23"/>
      <c r="C29" s="304"/>
      <c r="D29" s="306"/>
      <c r="E29" s="138"/>
      <c r="F29" s="304"/>
      <c r="G29" s="304"/>
      <c r="H29" s="307"/>
      <c r="J29" s="304"/>
      <c r="K29" s="304"/>
      <c r="L29" s="303"/>
    </row>
    <row r="30" spans="1:12" ht="12.75">
      <c r="A30" s="23" t="s">
        <v>16</v>
      </c>
      <c r="B30" s="300">
        <v>134631</v>
      </c>
      <c r="C30" s="304">
        <v>84096145955</v>
      </c>
      <c r="D30" s="306">
        <f>+C30/B30</f>
        <v>624641.7686491224</v>
      </c>
      <c r="E30" s="100">
        <v>901219914</v>
      </c>
      <c r="F30" s="301">
        <v>707896128</v>
      </c>
      <c r="G30" s="304">
        <f>+E30-F30</f>
        <v>193323786</v>
      </c>
      <c r="H30" s="307">
        <v>135182987</v>
      </c>
      <c r="I30" s="307">
        <f>IF(G30&gt;H30,G30,H30)</f>
        <v>193323786</v>
      </c>
      <c r="J30" s="308">
        <v>0</v>
      </c>
      <c r="K30" s="309">
        <f>I30+J30</f>
        <v>193323786</v>
      </c>
      <c r="L30" s="303">
        <f>K30/B30</f>
        <v>1435.952982596876</v>
      </c>
    </row>
    <row r="31" spans="1:12" ht="12.75">
      <c r="A31" s="23" t="s">
        <v>17</v>
      </c>
      <c r="B31" s="300">
        <v>124711</v>
      </c>
      <c r="C31" s="304">
        <v>36720832149</v>
      </c>
      <c r="D31" s="306">
        <f>+C31/B31</f>
        <v>294447.4196261757</v>
      </c>
      <c r="E31" s="100">
        <v>834815434</v>
      </c>
      <c r="F31" s="301">
        <v>309104949</v>
      </c>
      <c r="G31" s="304">
        <f>+E31-F31</f>
        <v>525710485</v>
      </c>
      <c r="H31" s="307">
        <v>125222315</v>
      </c>
      <c r="I31" s="307">
        <f>IF(G31&gt;H31,G31,H31)</f>
        <v>525710485</v>
      </c>
      <c r="J31" s="308">
        <v>0</v>
      </c>
      <c r="K31" s="309">
        <f>I31+J31</f>
        <v>525710485</v>
      </c>
      <c r="L31" s="303">
        <f>K31/B31</f>
        <v>4215.429954053772</v>
      </c>
    </row>
    <row r="32" spans="1:12" ht="12.75">
      <c r="A32" s="23" t="s">
        <v>18</v>
      </c>
      <c r="B32" s="300">
        <v>7431.5</v>
      </c>
      <c r="C32" s="304">
        <v>3447646199</v>
      </c>
      <c r="D32" s="306">
        <f>+C32/B32</f>
        <v>463923.32624638366</v>
      </c>
      <c r="E32" s="100">
        <v>49746461</v>
      </c>
      <c r="F32" s="301">
        <v>29021251</v>
      </c>
      <c r="G32" s="304">
        <f>+E32-F32</f>
        <v>20725210</v>
      </c>
      <c r="H32" s="307">
        <v>7461969</v>
      </c>
      <c r="I32" s="307">
        <f>IF(G32&gt;H32,G32,H32)</f>
        <v>20725210</v>
      </c>
      <c r="J32" s="308">
        <v>0</v>
      </c>
      <c r="K32" s="309">
        <f>I32+J32</f>
        <v>20725210</v>
      </c>
      <c r="L32" s="303">
        <f>K32/B32</f>
        <v>2788.8326717351815</v>
      </c>
    </row>
    <row r="33" spans="1:12" ht="12.75">
      <c r="A33" s="23" t="s">
        <v>19</v>
      </c>
      <c r="B33" s="300">
        <v>15829.5</v>
      </c>
      <c r="C33" s="304">
        <v>4989050509</v>
      </c>
      <c r="D33" s="306">
        <f>+C33/B33</f>
        <v>315174.23222464387</v>
      </c>
      <c r="E33" s="100">
        <v>105962673</v>
      </c>
      <c r="F33" s="301">
        <v>41996330</v>
      </c>
      <c r="G33" s="304">
        <f>+E33-F33</f>
        <v>63966343</v>
      </c>
      <c r="H33" s="307">
        <v>15894401</v>
      </c>
      <c r="I33" s="307">
        <f>IF(G33&gt;H33,G33,H33)</f>
        <v>63966343</v>
      </c>
      <c r="J33" s="308">
        <v>0</v>
      </c>
      <c r="K33" s="309">
        <f>I33+J33</f>
        <v>63966343</v>
      </c>
      <c r="L33" s="303">
        <f>K33/B33</f>
        <v>4040.9578950693326</v>
      </c>
    </row>
    <row r="34" spans="1:12" ht="12.75">
      <c r="A34" s="23" t="s">
        <v>20</v>
      </c>
      <c r="B34" s="300">
        <v>2758</v>
      </c>
      <c r="C34" s="304">
        <v>676232861</v>
      </c>
      <c r="D34" s="306">
        <f>+C34/B34</f>
        <v>245189.57976794778</v>
      </c>
      <c r="E34" s="100">
        <v>18462052</v>
      </c>
      <c r="F34" s="301">
        <v>5692325</v>
      </c>
      <c r="G34" s="304">
        <f>+E34-F34</f>
        <v>12769727</v>
      </c>
      <c r="H34" s="307">
        <v>2769308</v>
      </c>
      <c r="I34" s="307">
        <f>IF(G34&gt;H34,G34,H34)</f>
        <v>12769727</v>
      </c>
      <c r="J34" s="308">
        <v>0</v>
      </c>
      <c r="K34" s="309">
        <f>I34+J34</f>
        <v>12769727</v>
      </c>
      <c r="L34" s="303">
        <f>K34/B34</f>
        <v>4630.06780275562</v>
      </c>
    </row>
    <row r="35" spans="1:12" ht="12.75">
      <c r="A35" s="23"/>
      <c r="C35" s="304"/>
      <c r="D35" s="306"/>
      <c r="E35" s="138"/>
      <c r="F35" s="304"/>
      <c r="G35" s="304"/>
      <c r="H35" s="307"/>
      <c r="I35" s="304"/>
      <c r="J35" s="304"/>
      <c r="K35" s="304"/>
      <c r="L35" s="303"/>
    </row>
    <row r="36" spans="1:12" ht="12.75">
      <c r="A36" s="23" t="s">
        <v>21</v>
      </c>
      <c r="B36" s="300">
        <v>4223.25</v>
      </c>
      <c r="C36" s="304">
        <v>3548866059</v>
      </c>
      <c r="D36" s="306">
        <f>+C36/B36</f>
        <v>840316.358018114</v>
      </c>
      <c r="E36" s="100">
        <v>28270436</v>
      </c>
      <c r="F36" s="301">
        <v>29873290</v>
      </c>
      <c r="G36" s="309">
        <f>+E36-F36</f>
        <v>-1602854</v>
      </c>
      <c r="H36" s="307">
        <v>4240565</v>
      </c>
      <c r="I36" s="307">
        <f>IF(G36&gt;H36,G36,H36)</f>
        <v>4240565</v>
      </c>
      <c r="J36" s="308">
        <v>0</v>
      </c>
      <c r="K36" s="309">
        <f>I36+J36</f>
        <v>4240565</v>
      </c>
      <c r="L36" s="303">
        <f>K36/B36</f>
        <v>1004.0999230450483</v>
      </c>
    </row>
    <row r="37" spans="1:12" ht="12.75">
      <c r="A37" s="23" t="s">
        <v>22</v>
      </c>
      <c r="B37" s="300">
        <v>21065.5</v>
      </c>
      <c r="C37" s="304">
        <v>6210911739</v>
      </c>
      <c r="D37" s="306">
        <f>+C37/B37</f>
        <v>294838.08782131923</v>
      </c>
      <c r="E37" s="100">
        <v>141012457</v>
      </c>
      <c r="F37" s="301">
        <v>52281592</v>
      </c>
      <c r="G37" s="304">
        <f>+E37-F37</f>
        <v>88730865</v>
      </c>
      <c r="H37" s="307">
        <v>21151869</v>
      </c>
      <c r="I37" s="307">
        <f>IF(G37&gt;H37,G37,H37)</f>
        <v>88730865</v>
      </c>
      <c r="J37" s="308">
        <v>0</v>
      </c>
      <c r="K37" s="309">
        <f>I37+J37</f>
        <v>88730865</v>
      </c>
      <c r="L37" s="303">
        <f>K37/B37</f>
        <v>4212.141416059434</v>
      </c>
    </row>
    <row r="38" spans="1:12" ht="12.75">
      <c r="A38" s="23" t="s">
        <v>23</v>
      </c>
      <c r="B38" s="300">
        <v>13838.5</v>
      </c>
      <c r="C38" s="304">
        <v>3570979940</v>
      </c>
      <c r="D38" s="306">
        <f>+C38/B38</f>
        <v>258046.7492864111</v>
      </c>
      <c r="E38" s="100">
        <v>92634919</v>
      </c>
      <c r="F38" s="301">
        <v>30059438</v>
      </c>
      <c r="G38" s="304">
        <f>+E38-F38</f>
        <v>62575481</v>
      </c>
      <c r="H38" s="307">
        <v>13895238</v>
      </c>
      <c r="I38" s="307">
        <f>IF(G38&gt;H38,G38,H38)</f>
        <v>62575481</v>
      </c>
      <c r="J38" s="308">
        <v>0</v>
      </c>
      <c r="K38" s="309">
        <f>I38+J38</f>
        <v>62575481</v>
      </c>
      <c r="L38" s="303">
        <f>K38/B38</f>
        <v>4521.839867037613</v>
      </c>
    </row>
    <row r="39" spans="1:12" ht="12.75">
      <c r="A39" s="23" t="s">
        <v>24</v>
      </c>
      <c r="B39" s="300">
        <v>6486</v>
      </c>
      <c r="C39" s="304">
        <v>6741250818</v>
      </c>
      <c r="D39" s="306">
        <f>+C39/B39</f>
        <v>1039354.1193339501</v>
      </c>
      <c r="E39" s="100">
        <v>43417284</v>
      </c>
      <c r="F39" s="301">
        <v>56745827</v>
      </c>
      <c r="G39" s="311">
        <f>+E39-F39</f>
        <v>-13328543</v>
      </c>
      <c r="H39" s="312">
        <v>6512593</v>
      </c>
      <c r="I39" s="312">
        <f>IF(G39&gt;H39,G39,H39)</f>
        <v>6512593</v>
      </c>
      <c r="J39" s="308">
        <v>0</v>
      </c>
      <c r="K39" s="309">
        <f>I39+J39</f>
        <v>6512593</v>
      </c>
      <c r="L39" s="303">
        <f>K39/B39</f>
        <v>1004.100061671292</v>
      </c>
    </row>
    <row r="40" spans="1:12" ht="12.75">
      <c r="A40" s="26" t="s">
        <v>120</v>
      </c>
      <c r="B40" s="313"/>
      <c r="C40" s="313"/>
      <c r="D40" s="313"/>
      <c r="E40" s="313"/>
      <c r="F40" s="313"/>
      <c r="G40" s="313"/>
      <c r="H40" s="307"/>
      <c r="J40" s="313"/>
      <c r="K40" s="313"/>
      <c r="L40" s="313"/>
    </row>
    <row r="41" spans="1:12" ht="12.75">
      <c r="A41" s="23" t="s">
        <v>121</v>
      </c>
      <c r="B41" s="304"/>
      <c r="C41" s="134"/>
      <c r="D41" s="134"/>
      <c r="E41" s="134"/>
      <c r="F41" s="134"/>
      <c r="G41" s="134"/>
      <c r="H41" s="134"/>
      <c r="J41" s="134"/>
      <c r="K41" s="134"/>
      <c r="L41" s="134"/>
    </row>
    <row r="42" spans="1:12" ht="12.75">
      <c r="A42" s="23"/>
      <c r="B42" s="304"/>
      <c r="C42" s="304"/>
      <c r="D42" s="304"/>
      <c r="E42" s="304"/>
      <c r="F42" s="304"/>
      <c r="G42" s="304"/>
      <c r="H42" s="304"/>
      <c r="J42" s="304"/>
      <c r="K42" s="304"/>
      <c r="L42" s="304"/>
    </row>
    <row r="43" spans="1:12" ht="12.75">
      <c r="A43" s="23" t="s">
        <v>250</v>
      </c>
      <c r="B43" s="304"/>
      <c r="C43" s="304"/>
      <c r="D43" s="304"/>
      <c r="E43" s="304"/>
      <c r="F43" s="304"/>
      <c r="G43" s="304"/>
      <c r="H43" s="304"/>
      <c r="I43" s="307"/>
      <c r="J43" s="304"/>
      <c r="K43" s="304"/>
      <c r="L43" s="304"/>
    </row>
    <row r="44" spans="1:12" ht="12.75">
      <c r="A44" s="23"/>
      <c r="B44" s="304"/>
      <c r="C44" s="304"/>
      <c r="D44" s="304"/>
      <c r="E44" s="304"/>
      <c r="F44" s="304"/>
      <c r="G44" s="304"/>
      <c r="H44" s="304"/>
      <c r="I44" s="307"/>
      <c r="J44" s="304"/>
      <c r="K44" s="304"/>
      <c r="L44" s="304"/>
    </row>
    <row r="45" spans="1:12" ht="12.75">
      <c r="A45" t="s">
        <v>273</v>
      </c>
      <c r="B45" s="304"/>
      <c r="C45" s="304"/>
      <c r="D45" s="304"/>
      <c r="E45" s="304"/>
      <c r="F45" s="304"/>
      <c r="G45" s="304"/>
      <c r="H45" s="304"/>
      <c r="I45" s="314"/>
      <c r="J45" s="304"/>
      <c r="K45" s="304"/>
      <c r="L45" s="304"/>
    </row>
    <row r="46" spans="1:12" ht="12.75">
      <c r="A46" s="23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</row>
    <row r="47" spans="1:12" ht="12.75">
      <c r="A47" s="23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</row>
    <row r="48" spans="1:12" ht="12.75">
      <c r="A48" s="2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</row>
    <row r="49" spans="1:12" ht="12.75">
      <c r="A49" s="23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</row>
    <row r="50" spans="1:12" ht="12.75">
      <c r="A50" s="23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</row>
    <row r="51" spans="1:12" ht="12.75">
      <c r="A51" s="23"/>
      <c r="B51" s="304"/>
      <c r="C51" s="304"/>
      <c r="D51" s="304"/>
      <c r="E51" s="304"/>
      <c r="F51" s="315"/>
      <c r="G51" s="304"/>
      <c r="H51" s="304"/>
      <c r="I51" s="304"/>
      <c r="J51" s="304"/>
      <c r="K51" s="304"/>
      <c r="L51" s="304"/>
    </row>
    <row r="52" spans="1:12" ht="12.75">
      <c r="A52" s="23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</row>
    <row r="53" spans="1:12" ht="12.75">
      <c r="A53" s="23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</row>
    <row r="54" spans="1:12" ht="12.75">
      <c r="A54" s="23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</row>
    <row r="55" spans="1:12" ht="12.75">
      <c r="A55" s="2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</row>
    <row r="56" spans="1:12" ht="12.75">
      <c r="A56" s="2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</row>
    <row r="57" spans="1:12" ht="12.75">
      <c r="A57" s="2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</row>
    <row r="58" spans="1:12" ht="12.75">
      <c r="A58" s="2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</row>
    <row r="59" spans="1:12" ht="12.75">
      <c r="A59" s="23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</row>
    <row r="60" spans="1:12" ht="12.75">
      <c r="A60" s="23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</row>
    <row r="61" spans="1:12" ht="12.75">
      <c r="A61" s="23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</row>
    <row r="62" spans="1:12" ht="12.75">
      <c r="A62" s="23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</row>
    <row r="63" spans="1:12" ht="12.75">
      <c r="A63" s="23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</row>
    <row r="64" spans="1:12" ht="12.75">
      <c r="A64" s="23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1:12" ht="12.75">
      <c r="A65" s="23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</row>
    <row r="66" spans="1:12" ht="12.75">
      <c r="A66" s="23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</row>
    <row r="67" spans="1:12" ht="12.75">
      <c r="A67" s="23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  <row r="68" spans="1:12" ht="12.75">
      <c r="A68" s="23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</row>
    <row r="69" spans="1:12" ht="12.75">
      <c r="A69" s="23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</row>
    <row r="70" spans="1:12" ht="12.75">
      <c r="A70" s="23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</row>
    <row r="71" spans="1:12" ht="12.75">
      <c r="A71" s="23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</row>
    <row r="72" spans="1:12" ht="12.75">
      <c r="A72" s="23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</row>
    <row r="73" spans="1:12" ht="12.75">
      <c r="A73" s="23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</row>
    <row r="74" spans="1:12" ht="12.75">
      <c r="A74" s="23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</row>
    <row r="75" spans="2:12" ht="12.75"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</row>
    <row r="76" spans="2:12" ht="12.75"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</row>
    <row r="77" spans="2:12" ht="12.75"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</row>
    <row r="78" spans="2:12" ht="12.75"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</row>
    <row r="79" spans="2:12" ht="12.75"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</row>
    <row r="80" spans="2:12" ht="12.75"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</row>
    <row r="81" spans="2:12" ht="12.75"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</row>
    <row r="82" spans="2:12" ht="12.75"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</row>
    <row r="83" spans="2:12" ht="12.75"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</row>
    <row r="84" spans="2:12" ht="12.75"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</row>
    <row r="85" spans="2:12" ht="12.75"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</row>
    <row r="86" spans="2:12" ht="12.75"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</row>
    <row r="87" spans="2:12" ht="12.75"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</row>
    <row r="88" spans="2:12" ht="12.75"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</row>
    <row r="89" spans="2:12" ht="12.75"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</row>
    <row r="90" spans="2:12" ht="12.75"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</row>
    <row r="91" spans="2:12" ht="12.75"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</row>
    <row r="92" spans="2:12" ht="12.75"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</row>
    <row r="93" spans="2:12" ht="12.75"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</row>
    <row r="94" spans="2:12" ht="12.75"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</row>
    <row r="95" spans="2:12" ht="12.75"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</row>
    <row r="96" spans="2:12" ht="12.75"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</row>
    <row r="97" spans="2:12" ht="12.75"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</row>
    <row r="98" spans="2:12" ht="12.75"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</row>
    <row r="99" spans="2:12" ht="12.75"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</row>
    <row r="100" spans="2:12" ht="12.75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</row>
    <row r="101" spans="2:12" ht="12.75"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</row>
    <row r="102" spans="2:12" ht="12.75"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</row>
    <row r="103" spans="2:12" ht="12.75"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</row>
    <row r="104" spans="2:12" ht="12.75"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</row>
    <row r="105" spans="2:12" ht="12.75"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</row>
    <row r="106" spans="2:12" ht="12.75"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</row>
    <row r="107" spans="2:12" ht="12.75"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</row>
    <row r="108" spans="2:12" ht="12.75"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</row>
    <row r="109" spans="2:12" ht="12.75"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</row>
  </sheetData>
  <sheetProtection password="CAF5" sheet="1"/>
  <mergeCells count="13">
    <mergeCell ref="I6:I9"/>
    <mergeCell ref="K6:K9"/>
    <mergeCell ref="L6:L9"/>
    <mergeCell ref="D5:D9"/>
    <mergeCell ref="C5:C9"/>
    <mergeCell ref="B5:B9"/>
    <mergeCell ref="A5:A9"/>
    <mergeCell ref="G5:L5"/>
    <mergeCell ref="J6:J9"/>
    <mergeCell ref="E5:E9"/>
    <mergeCell ref="F5:F9"/>
    <mergeCell ref="G6:G9"/>
    <mergeCell ref="H6:H9"/>
  </mergeCells>
  <printOptions horizontalCentered="1"/>
  <pageMargins left="0.61" right="0.75" top="0.83" bottom="1" header="0.67" footer="0.5"/>
  <pageSetup fitToHeight="1" fitToWidth="1" horizontalDpi="600" verticalDpi="600" orientation="landscape" scale="70" r:id="rId1"/>
  <headerFooter alignWithMargins="0">
    <oddHeader>&amp;R
</oddHeader>
    <oddFooter>&amp;L&amp;"Arial,Italic"&amp;9MSDE-DBS  10 / 2009&amp;C- 17 -&amp;R&amp;"Arial,Italic"&amp;9Selected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view="pageLayout" workbookViewId="0" topLeftCell="B7">
      <selection activeCell="I11" sqref="I11"/>
    </sheetView>
  </sheetViews>
  <sheetFormatPr defaultColWidth="11.421875" defaultRowHeight="12.75"/>
  <cols>
    <col min="1" max="1" width="21.57421875" style="24" customWidth="1"/>
    <col min="2" max="2" width="14.7109375" style="24" customWidth="1"/>
    <col min="3" max="3" width="13.57421875" style="24" customWidth="1"/>
    <col min="4" max="4" width="15.28125" style="302" customWidth="1"/>
    <col min="5" max="5" width="17.421875" style="24" customWidth="1"/>
    <col min="6" max="6" width="15.28125" style="24" customWidth="1"/>
    <col min="7" max="7" width="16.7109375" style="24" customWidth="1"/>
    <col min="8" max="8" width="15.421875" style="24" customWidth="1"/>
    <col min="9" max="9" width="17.8515625" style="24" customWidth="1"/>
    <col min="10" max="11" width="11.421875" style="24" customWidth="1"/>
    <col min="12" max="12" width="14.57421875" style="24" customWidth="1"/>
    <col min="13" max="16384" width="11.421875" style="24" customWidth="1"/>
  </cols>
  <sheetData>
    <row r="1" spans="1:13" ht="12.75">
      <c r="A1" s="22" t="s">
        <v>102</v>
      </c>
      <c r="B1" s="22"/>
      <c r="C1" s="22"/>
      <c r="D1" s="291"/>
      <c r="E1" s="22"/>
      <c r="F1" s="22"/>
      <c r="G1" s="22"/>
      <c r="H1" s="22"/>
      <c r="I1" s="22"/>
      <c r="J1" s="23"/>
      <c r="K1" s="23"/>
      <c r="L1" s="23"/>
      <c r="M1" s="23"/>
    </row>
    <row r="2" spans="1:13" ht="12.75">
      <c r="A2" s="22"/>
      <c r="B2" s="22"/>
      <c r="C2" s="22"/>
      <c r="D2" s="291"/>
      <c r="E2" s="22"/>
      <c r="F2" s="22"/>
      <c r="G2" s="22"/>
      <c r="H2" s="22"/>
      <c r="I2" s="22"/>
      <c r="J2" s="23"/>
      <c r="K2" s="23"/>
      <c r="L2" s="23"/>
      <c r="M2" s="23"/>
    </row>
    <row r="3" spans="1:13" ht="12.75">
      <c r="A3" s="333" t="s">
        <v>274</v>
      </c>
      <c r="B3" s="22"/>
      <c r="C3" s="22"/>
      <c r="D3" s="291"/>
      <c r="E3" s="22"/>
      <c r="F3" s="22"/>
      <c r="G3" s="22"/>
      <c r="H3" s="22"/>
      <c r="I3" s="22"/>
      <c r="J3" s="23"/>
      <c r="K3" s="23"/>
      <c r="L3" s="23"/>
      <c r="M3" s="23"/>
    </row>
    <row r="4" spans="1:13" ht="12.75">
      <c r="A4" s="22"/>
      <c r="B4" s="22"/>
      <c r="C4" s="22"/>
      <c r="D4" s="291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50"/>
      <c r="B5" s="50"/>
      <c r="C5" s="50"/>
      <c r="D5" s="220"/>
      <c r="E5" s="50"/>
      <c r="F5" s="50"/>
      <c r="G5" s="50"/>
      <c r="H5" s="50"/>
      <c r="I5" s="50"/>
      <c r="J5" s="23"/>
      <c r="K5" s="23"/>
      <c r="L5" s="23"/>
      <c r="M5" s="23"/>
    </row>
    <row r="6" spans="1:13" ht="13.5" customHeight="1" thickTop="1">
      <c r="A6" s="23"/>
      <c r="B6" s="462" t="s">
        <v>275</v>
      </c>
      <c r="C6" s="464" t="s">
        <v>276</v>
      </c>
      <c r="D6" s="465" t="s">
        <v>195</v>
      </c>
      <c r="E6" s="462" t="s">
        <v>194</v>
      </c>
      <c r="F6" s="462" t="s">
        <v>277</v>
      </c>
      <c r="G6" s="462" t="s">
        <v>196</v>
      </c>
      <c r="H6" s="462" t="s">
        <v>233</v>
      </c>
      <c r="I6" s="462" t="s">
        <v>197</v>
      </c>
      <c r="J6" s="23"/>
      <c r="K6" s="23"/>
      <c r="L6" s="23"/>
      <c r="M6" s="23"/>
    </row>
    <row r="7" spans="1:13" ht="12.75">
      <c r="A7" s="34" t="s">
        <v>83</v>
      </c>
      <c r="B7" s="454"/>
      <c r="C7" s="456"/>
      <c r="D7" s="383"/>
      <c r="E7" s="456"/>
      <c r="F7" s="456"/>
      <c r="G7" s="456"/>
      <c r="H7" s="403"/>
      <c r="I7" s="456"/>
      <c r="J7" s="23"/>
      <c r="K7" s="23"/>
      <c r="L7" s="23"/>
      <c r="M7" s="23"/>
    </row>
    <row r="8" spans="1:13" ht="12.75">
      <c r="A8" s="32" t="s">
        <v>35</v>
      </c>
      <c r="B8" s="454"/>
      <c r="C8" s="403"/>
      <c r="D8" s="466"/>
      <c r="E8" s="403"/>
      <c r="F8" s="456"/>
      <c r="G8" s="403"/>
      <c r="H8" s="403"/>
      <c r="I8" s="456"/>
      <c r="J8" s="23"/>
      <c r="K8" s="23"/>
      <c r="L8" s="23"/>
      <c r="M8" s="23"/>
    </row>
    <row r="9" spans="1:13" ht="13.5" thickBot="1">
      <c r="A9" s="55" t="s">
        <v>141</v>
      </c>
      <c r="B9" s="463"/>
      <c r="C9" s="52" t="s">
        <v>103</v>
      </c>
      <c r="D9" s="224" t="s">
        <v>104</v>
      </c>
      <c r="E9" s="75" t="s">
        <v>232</v>
      </c>
      <c r="F9" s="404"/>
      <c r="G9" s="75" t="s">
        <v>278</v>
      </c>
      <c r="H9" s="404"/>
      <c r="I9" s="404"/>
      <c r="J9" s="23"/>
      <c r="K9" s="23"/>
      <c r="L9" s="23"/>
      <c r="M9" s="23"/>
    </row>
    <row r="10" spans="1:13" ht="12.75">
      <c r="A10" s="32" t="s">
        <v>0</v>
      </c>
      <c r="B10" s="53">
        <f>SUM(B12:B39)</f>
        <v>261676</v>
      </c>
      <c r="C10" s="54">
        <f>SUM(C12:C39)</f>
        <v>849661972</v>
      </c>
      <c r="D10" s="316">
        <v>397614.17621209816</v>
      </c>
      <c r="E10" s="54">
        <f>SUM(E12:E39)</f>
        <v>1093779362</v>
      </c>
      <c r="F10" s="54">
        <f>SUM(F12:F39)</f>
        <v>849661918.1553698</v>
      </c>
      <c r="G10" s="54">
        <f>SUM(G12:G39)</f>
        <v>679729581</v>
      </c>
      <c r="H10" s="54">
        <f>SUM(H12:H39)+1</f>
        <v>52472449.59713309</v>
      </c>
      <c r="I10" s="54">
        <f>SUM(I12:I39)+1-2</f>
        <v>902134365.7525029</v>
      </c>
      <c r="J10" s="23"/>
      <c r="K10" s="23"/>
      <c r="L10" s="23"/>
      <c r="M10" s="23"/>
    </row>
    <row r="11" spans="1:13" ht="12.75">
      <c r="A11" s="23"/>
      <c r="B11" s="25"/>
      <c r="C11" s="25"/>
      <c r="D11" s="259"/>
      <c r="E11" s="25"/>
      <c r="F11" s="25"/>
      <c r="G11" s="25"/>
      <c r="H11" s="25"/>
      <c r="I11" s="25"/>
      <c r="J11" s="23"/>
      <c r="K11" s="23"/>
      <c r="L11" s="23"/>
      <c r="M11" s="23"/>
    </row>
    <row r="12" spans="1:13" ht="12.75">
      <c r="A12" s="23" t="s">
        <v>1</v>
      </c>
      <c r="B12" s="25">
        <v>4416</v>
      </c>
      <c r="C12" s="25">
        <f>+B12*3247</f>
        <v>14338752</v>
      </c>
      <c r="D12" s="335">
        <v>212726</v>
      </c>
      <c r="E12" s="25">
        <v>26801090</v>
      </c>
      <c r="F12" s="25">
        <f>E12*0.7768129</f>
        <v>20819432.446061</v>
      </c>
      <c r="G12" s="25">
        <v>11471002</v>
      </c>
      <c r="H12" s="53">
        <f>IF(F12&gt;G12,0,(G12-F12))</f>
        <v>0</v>
      </c>
      <c r="I12" s="25">
        <f>MAX(F12,G12)</f>
        <v>20819432.446061</v>
      </c>
      <c r="J12" s="29"/>
      <c r="K12" s="23"/>
      <c r="L12" s="25"/>
      <c r="M12" s="23"/>
    </row>
    <row r="13" spans="1:13" ht="12.75">
      <c r="A13" s="334" t="s">
        <v>2</v>
      </c>
      <c r="B13" s="25">
        <v>14381</v>
      </c>
      <c r="C13" s="25">
        <f>+B13*3247</f>
        <v>46695107</v>
      </c>
      <c r="D13" s="335">
        <v>505264</v>
      </c>
      <c r="E13" s="25">
        <v>36746390</v>
      </c>
      <c r="F13" s="25">
        <f>E13*0.7768129</f>
        <v>28545069.780431002</v>
      </c>
      <c r="G13" s="25">
        <v>37356086</v>
      </c>
      <c r="H13" s="53">
        <f>IF(F13&gt;G13,0,(G13-F13))</f>
        <v>8811016.219568998</v>
      </c>
      <c r="I13" s="25">
        <f>MAX(F13,G13)</f>
        <v>37356086</v>
      </c>
      <c r="J13" s="23"/>
      <c r="K13" s="23"/>
      <c r="L13" s="25"/>
      <c r="M13" s="23"/>
    </row>
    <row r="14" spans="1:13" ht="12.75">
      <c r="A14" s="23" t="s">
        <v>3</v>
      </c>
      <c r="B14" s="25">
        <v>57158</v>
      </c>
      <c r="C14" s="25">
        <f>+B14*3247</f>
        <v>185592026</v>
      </c>
      <c r="D14" s="335">
        <v>206803</v>
      </c>
      <c r="E14" s="25">
        <v>356832259</v>
      </c>
      <c r="F14" s="25">
        <f>E14*0.7768129</f>
        <v>277191901.9273411</v>
      </c>
      <c r="G14" s="25">
        <v>148473621</v>
      </c>
      <c r="H14" s="53">
        <f>IF(F14&gt;G14,0,(G14-F14))</f>
        <v>0</v>
      </c>
      <c r="I14" s="25">
        <f>MAX(F14,G14)</f>
        <v>277191901.9273411</v>
      </c>
      <c r="J14" s="23"/>
      <c r="K14" s="23"/>
      <c r="L14" s="25"/>
      <c r="M14" s="23"/>
    </row>
    <row r="15" spans="1:13" ht="12.75">
      <c r="A15" s="23" t="s">
        <v>4</v>
      </c>
      <c r="B15" s="25">
        <v>33185</v>
      </c>
      <c r="C15" s="25">
        <f>+B15*3247</f>
        <v>107751695</v>
      </c>
      <c r="D15" s="335">
        <v>404412</v>
      </c>
      <c r="E15" s="25">
        <v>105940431</v>
      </c>
      <c r="F15" s="25">
        <f>E15*0.7768129</f>
        <v>82295893.4323599</v>
      </c>
      <c r="G15" s="25">
        <v>86201356</v>
      </c>
      <c r="H15" s="53">
        <f>IF(F15&gt;G15,0,(G15-F15))</f>
        <v>3905462.567640096</v>
      </c>
      <c r="I15" s="25">
        <f>MAX(F15,G15)</f>
        <v>86201356</v>
      </c>
      <c r="J15" s="23"/>
      <c r="K15" s="23"/>
      <c r="L15" s="25"/>
      <c r="M15" s="23"/>
    </row>
    <row r="16" spans="1:13" ht="12.75">
      <c r="A16" s="23" t="s">
        <v>5</v>
      </c>
      <c r="B16" s="25">
        <v>2375</v>
      </c>
      <c r="C16" s="25">
        <f>+B16*3247</f>
        <v>7711625</v>
      </c>
      <c r="D16" s="335">
        <v>346096</v>
      </c>
      <c r="E16" s="25">
        <v>8859537</v>
      </c>
      <c r="F16" s="25">
        <f>E16*0.7768129</f>
        <v>6882202.6296273</v>
      </c>
      <c r="G16" s="25">
        <v>6169300</v>
      </c>
      <c r="H16" s="53">
        <f>IF(F16&gt;G16,0,(G16-F16))</f>
        <v>0</v>
      </c>
      <c r="I16" s="25">
        <f>MAX(F16,G16)</f>
        <v>6882202.6296273</v>
      </c>
      <c r="J16" s="23"/>
      <c r="K16" s="23"/>
      <c r="L16" s="25"/>
      <c r="M16" s="23"/>
    </row>
    <row r="17" spans="1:13" ht="12.75">
      <c r="A17" s="23"/>
      <c r="B17" s="25"/>
      <c r="C17" s="25"/>
      <c r="E17" s="25"/>
      <c r="F17" s="25"/>
      <c r="G17" s="25"/>
      <c r="H17" s="25"/>
      <c r="I17" s="25"/>
      <c r="J17" s="23"/>
      <c r="K17" s="23"/>
      <c r="L17" s="25"/>
      <c r="M17" s="23"/>
    </row>
    <row r="18" spans="1:13" ht="12.75">
      <c r="A18" s="23" t="s">
        <v>6</v>
      </c>
      <c r="B18" s="25">
        <v>2273</v>
      </c>
      <c r="C18" s="25">
        <f>+B18*3247</f>
        <v>7380431</v>
      </c>
      <c r="D18" s="259">
        <v>231857</v>
      </c>
      <c r="E18" s="25">
        <v>12656779</v>
      </c>
      <c r="F18" s="25">
        <f>E18*0.7768129</f>
        <v>9831949.199649101</v>
      </c>
      <c r="G18" s="25">
        <v>5904345</v>
      </c>
      <c r="H18" s="53">
        <f>IF(F18&gt;G18,0,(G18-F18))</f>
        <v>0</v>
      </c>
      <c r="I18" s="25">
        <f>MAX(F18,G18)</f>
        <v>9831949.199649101</v>
      </c>
      <c r="J18" s="23"/>
      <c r="K18" s="23"/>
      <c r="L18" s="25"/>
      <c r="M18" s="23"/>
    </row>
    <row r="19" spans="1:13" ht="12.75">
      <c r="A19" s="23" t="s">
        <v>7</v>
      </c>
      <c r="B19" s="25">
        <v>2997</v>
      </c>
      <c r="C19" s="25">
        <f>+B19*3247</f>
        <v>9731259</v>
      </c>
      <c r="D19" s="259">
        <v>336711</v>
      </c>
      <c r="E19" s="25">
        <v>11491412</v>
      </c>
      <c r="F19" s="25">
        <f>E19*0.7768129</f>
        <v>8926677.080814801</v>
      </c>
      <c r="G19" s="25">
        <v>7785007</v>
      </c>
      <c r="H19" s="53">
        <f>IF(F19&gt;G19,0,(G19-F19))</f>
        <v>0</v>
      </c>
      <c r="I19" s="25">
        <f>MAX(F19,G19)</f>
        <v>8926677.080814801</v>
      </c>
      <c r="J19" s="23"/>
      <c r="K19" s="23"/>
      <c r="L19" s="25"/>
      <c r="M19" s="23"/>
    </row>
    <row r="20" spans="1:13" ht="12.75">
      <c r="A20" s="23" t="s">
        <v>8</v>
      </c>
      <c r="B20" s="25">
        <v>4082</v>
      </c>
      <c r="C20" s="25">
        <f>+B20*3247</f>
        <v>13254254</v>
      </c>
      <c r="D20" s="259">
        <v>295018</v>
      </c>
      <c r="E20" s="25">
        <v>17863577</v>
      </c>
      <c r="F20" s="25">
        <f>E20*0.7768129</f>
        <v>13876657.053743301</v>
      </c>
      <c r="G20" s="25">
        <v>10603403</v>
      </c>
      <c r="H20" s="53">
        <f>IF(F20&gt;G20,0,(G20-F20))</f>
        <v>0</v>
      </c>
      <c r="I20" s="25">
        <f>MAX(F20,G20)</f>
        <v>13876657.053743301</v>
      </c>
      <c r="J20" s="23"/>
      <c r="K20" s="23"/>
      <c r="L20" s="25"/>
      <c r="M20" s="23"/>
    </row>
    <row r="21" spans="1:13" ht="12.75">
      <c r="A21" s="23" t="s">
        <v>9</v>
      </c>
      <c r="B21" s="25">
        <v>5126</v>
      </c>
      <c r="C21" s="25">
        <f>+B21*3247</f>
        <v>16644122</v>
      </c>
      <c r="D21" s="259">
        <v>303665</v>
      </c>
      <c r="E21" s="25">
        <v>21793541</v>
      </c>
      <c r="F21" s="25">
        <f>E21*0.7768129</f>
        <v>16929503.7854789</v>
      </c>
      <c r="G21" s="25">
        <v>13315298</v>
      </c>
      <c r="H21" s="53">
        <f>IF(F21&gt;G21,0,(G21-F21))</f>
        <v>0</v>
      </c>
      <c r="I21" s="25">
        <f>MAX(F21,G21)</f>
        <v>16929503.7854789</v>
      </c>
      <c r="J21" s="23"/>
      <c r="K21" s="23"/>
      <c r="L21" s="25"/>
      <c r="M21" s="23"/>
    </row>
    <row r="22" spans="1:13" ht="12.75">
      <c r="A22" s="23" t="s">
        <v>10</v>
      </c>
      <c r="B22" s="25">
        <v>2041</v>
      </c>
      <c r="C22" s="25">
        <f>+B22*3247</f>
        <v>6627127</v>
      </c>
      <c r="D22" s="259">
        <v>303280</v>
      </c>
      <c r="E22" s="25">
        <v>8688468</v>
      </c>
      <c r="F22" s="25">
        <f>E22*0.7768129</f>
        <v>6749314.023637201</v>
      </c>
      <c r="G22" s="25">
        <v>5301702</v>
      </c>
      <c r="H22" s="53">
        <f>IF(F22&gt;G22,0,(G22-F22))</f>
        <v>0</v>
      </c>
      <c r="I22" s="25">
        <f>MAX(F22,G22)</f>
        <v>6749314.023637201</v>
      </c>
      <c r="J22" s="23"/>
      <c r="K22" s="23"/>
      <c r="L22" s="25"/>
      <c r="M22" s="23"/>
    </row>
    <row r="23" spans="1:13" ht="12.75">
      <c r="A23" s="23"/>
      <c r="B23" s="25"/>
      <c r="C23" s="25"/>
      <c r="D23" s="259"/>
      <c r="E23" s="25"/>
      <c r="F23" s="25"/>
      <c r="G23" s="25"/>
      <c r="H23" s="25"/>
      <c r="I23" s="25"/>
      <c r="J23" s="23"/>
      <c r="K23" s="23"/>
      <c r="L23" s="25"/>
      <c r="M23" s="23"/>
    </row>
    <row r="24" spans="1:13" ht="12.75">
      <c r="A24" s="23" t="s">
        <v>11</v>
      </c>
      <c r="B24" s="25">
        <v>5967</v>
      </c>
      <c r="C24" s="25">
        <f>+B24*3247</f>
        <v>19374849</v>
      </c>
      <c r="D24" s="259">
        <v>343269</v>
      </c>
      <c r="E24" s="25">
        <v>22442199</v>
      </c>
      <c r="F24" s="25">
        <f>E24*0.7768129</f>
        <v>17433389.6875671</v>
      </c>
      <c r="G24" s="25">
        <v>15499879</v>
      </c>
      <c r="H24" s="53">
        <f>IF(F24&gt;G24,0,(G24-F24))</f>
        <v>0</v>
      </c>
      <c r="I24" s="25">
        <f>MAX(F24,G24)</f>
        <v>17433389.6875671</v>
      </c>
      <c r="J24" s="23"/>
      <c r="K24" s="23"/>
      <c r="L24" s="25"/>
      <c r="M24" s="23"/>
    </row>
    <row r="25" spans="1:13" ht="12.75">
      <c r="A25" s="23" t="s">
        <v>12</v>
      </c>
      <c r="B25" s="25">
        <v>1801</v>
      </c>
      <c r="C25" s="25">
        <f>+B25*3247</f>
        <v>5847847</v>
      </c>
      <c r="D25" s="259">
        <v>381459</v>
      </c>
      <c r="E25" s="25">
        <v>6095507</v>
      </c>
      <c r="F25" s="25">
        <f>E25*0.7768129</f>
        <v>4735068.469640301</v>
      </c>
      <c r="G25" s="25">
        <v>4678278</v>
      </c>
      <c r="H25" s="53">
        <f>IF(F25&gt;G25,0,(G25-F25))</f>
        <v>0</v>
      </c>
      <c r="I25" s="25">
        <f>MAX(F25,G25)</f>
        <v>4735068.469640301</v>
      </c>
      <c r="J25" s="23"/>
      <c r="K25" s="23"/>
      <c r="L25" s="25"/>
      <c r="M25" s="23"/>
    </row>
    <row r="26" spans="1:13" ht="12.75">
      <c r="A26" s="23" t="s">
        <v>13</v>
      </c>
      <c r="B26" s="25">
        <v>7388</v>
      </c>
      <c r="C26" s="25">
        <f>+B26*3247</f>
        <v>23988836</v>
      </c>
      <c r="D26" s="259">
        <v>327391</v>
      </c>
      <c r="E26" s="25">
        <v>29134268</v>
      </c>
      <c r="F26" s="25">
        <f>E26*0.7768129</f>
        <v>22631875.2144572</v>
      </c>
      <c r="G26" s="25">
        <v>19191069</v>
      </c>
      <c r="H26" s="53">
        <f>IF(F26&gt;G26,0,(G26-F26))</f>
        <v>0</v>
      </c>
      <c r="I26" s="25">
        <f>MAX(F26,G26)</f>
        <v>22631875.2144572</v>
      </c>
      <c r="J26" s="23"/>
      <c r="K26" s="23"/>
      <c r="L26" s="25"/>
      <c r="M26" s="23"/>
    </row>
    <row r="27" spans="1:13" ht="12.75">
      <c r="A27" s="23" t="s">
        <v>14</v>
      </c>
      <c r="B27" s="25">
        <v>5386</v>
      </c>
      <c r="C27" s="25">
        <f>+B27*3247</f>
        <v>17488342</v>
      </c>
      <c r="D27" s="259">
        <v>456593</v>
      </c>
      <c r="E27" s="25">
        <v>15229339</v>
      </c>
      <c r="F27" s="25">
        <f>E27*0.7768129</f>
        <v>11830346.993673101</v>
      </c>
      <c r="G27" s="25">
        <v>13990674</v>
      </c>
      <c r="H27" s="53">
        <f>IF(F27&gt;G27,0,(G27-F27))</f>
        <v>2160327.006326899</v>
      </c>
      <c r="I27" s="25">
        <f>MAX(F27,G27)</f>
        <v>13990674</v>
      </c>
      <c r="J27" s="23"/>
      <c r="K27" s="23"/>
      <c r="L27" s="25"/>
      <c r="M27" s="23"/>
    </row>
    <row r="28" spans="1:13" ht="12.75">
      <c r="A28" s="23" t="s">
        <v>15</v>
      </c>
      <c r="B28" s="25">
        <v>880</v>
      </c>
      <c r="C28" s="25">
        <f>+B28*3247</f>
        <v>2857360</v>
      </c>
      <c r="D28" s="259">
        <v>534323</v>
      </c>
      <c r="E28" s="25">
        <v>2126291</v>
      </c>
      <c r="F28" s="25">
        <f>E28*0.7768129</f>
        <v>1651730.2779539002</v>
      </c>
      <c r="G28" s="25">
        <v>2285888</v>
      </c>
      <c r="H28" s="53">
        <f>IF(F28&gt;G28,0,(G28-F28))</f>
        <v>634157.7220460998</v>
      </c>
      <c r="I28" s="25">
        <f>MAX(F28,G28)</f>
        <v>2285888</v>
      </c>
      <c r="J28" s="23"/>
      <c r="K28" s="23"/>
      <c r="L28" s="25"/>
      <c r="M28" s="23"/>
    </row>
    <row r="29" spans="1:13" ht="12.75">
      <c r="A29" s="23"/>
      <c r="B29" s="25"/>
      <c r="C29" s="25"/>
      <c r="D29" s="259"/>
      <c r="E29" s="25"/>
      <c r="F29" s="25"/>
      <c r="G29" s="25"/>
      <c r="H29" s="25"/>
      <c r="I29" s="25"/>
      <c r="J29" s="23"/>
      <c r="K29" s="23"/>
      <c r="L29" s="25"/>
      <c r="M29" s="23"/>
    </row>
    <row r="30" spans="1:13" ht="12.75">
      <c r="A30" s="23" t="s">
        <v>16</v>
      </c>
      <c r="B30" s="25">
        <v>31773</v>
      </c>
      <c r="C30" s="25">
        <f>+B30*3247</f>
        <v>103166931</v>
      </c>
      <c r="D30" s="259">
        <v>624642</v>
      </c>
      <c r="E30" s="25">
        <v>65670601</v>
      </c>
      <c r="F30" s="25">
        <f>E30*0.7768129</f>
        <v>51013770.0075529</v>
      </c>
      <c r="G30" s="25">
        <v>82533545</v>
      </c>
      <c r="H30" s="53">
        <f>IF(F30&gt;G30,0,(G30-F30))</f>
        <v>31519774.9924471</v>
      </c>
      <c r="I30" s="25">
        <f>MAX(F30,G30)</f>
        <v>82533545</v>
      </c>
      <c r="J30" s="23"/>
      <c r="K30" s="23"/>
      <c r="L30" s="25"/>
      <c r="M30" s="23"/>
    </row>
    <row r="31" spans="1:13" ht="12.75">
      <c r="A31" s="23" t="s">
        <v>17</v>
      </c>
      <c r="B31" s="25">
        <v>57318</v>
      </c>
      <c r="C31" s="25">
        <f>+B31*3247</f>
        <v>186111546</v>
      </c>
      <c r="D31" s="259">
        <v>294447</v>
      </c>
      <c r="E31" s="25">
        <v>251320459</v>
      </c>
      <c r="F31" s="25">
        <f>E31*0.7768129</f>
        <v>195228974.5851211</v>
      </c>
      <c r="G31" s="25">
        <v>148889237</v>
      </c>
      <c r="H31" s="53">
        <f>IF(F31&gt;G31,0,(G31-F31))</f>
        <v>0</v>
      </c>
      <c r="I31" s="25">
        <f>MAX(F31,G31)</f>
        <v>195228974.5851211</v>
      </c>
      <c r="J31" s="23"/>
      <c r="K31" s="23"/>
      <c r="L31" s="25"/>
      <c r="M31" s="23"/>
    </row>
    <row r="32" spans="1:13" ht="12.75">
      <c r="A32" s="23" t="s">
        <v>18</v>
      </c>
      <c r="B32" s="25">
        <v>1089</v>
      </c>
      <c r="C32" s="25">
        <f>+B32*3247</f>
        <v>3535983</v>
      </c>
      <c r="D32" s="259">
        <v>463923</v>
      </c>
      <c r="E32" s="25">
        <v>3030581</v>
      </c>
      <c r="F32" s="25">
        <f>E32*0.7768129</f>
        <v>2354194.4152949</v>
      </c>
      <c r="G32" s="25">
        <v>2828786</v>
      </c>
      <c r="H32" s="53">
        <f>IF(F32&gt;G32,0,(G32-F32))</f>
        <v>474591.58470509993</v>
      </c>
      <c r="I32" s="25">
        <f>MAX(F32,G32)</f>
        <v>2828786</v>
      </c>
      <c r="J32" s="23"/>
      <c r="K32" s="23"/>
      <c r="L32" s="25"/>
      <c r="M32" s="23"/>
    </row>
    <row r="33" spans="1:13" ht="12.75">
      <c r="A33" s="23" t="s">
        <v>19</v>
      </c>
      <c r="B33" s="25">
        <v>3507</v>
      </c>
      <c r="C33" s="25">
        <f>+B33*3247</f>
        <v>11387229</v>
      </c>
      <c r="D33" s="259">
        <v>315174</v>
      </c>
      <c r="E33" s="25">
        <v>14365785</v>
      </c>
      <c r="F33" s="25">
        <f>E33*0.7768129</f>
        <v>11159527.106626501</v>
      </c>
      <c r="G33" s="25">
        <v>9109783</v>
      </c>
      <c r="H33" s="53">
        <f>IF(F33&gt;G33,0,(G33-F33))</f>
        <v>0</v>
      </c>
      <c r="I33" s="25">
        <f>MAX(F33,G33)</f>
        <v>11159527.106626501</v>
      </c>
      <c r="J33" s="23"/>
      <c r="K33" s="23"/>
      <c r="L33" s="25"/>
      <c r="M33" s="23"/>
    </row>
    <row r="34" spans="1:13" ht="12.75">
      <c r="A34" s="23" t="s">
        <v>20</v>
      </c>
      <c r="B34" s="25">
        <v>1503</v>
      </c>
      <c r="C34" s="25">
        <f>+B34*3247</f>
        <v>4880241</v>
      </c>
      <c r="D34" s="259">
        <v>245190</v>
      </c>
      <c r="E34" s="25">
        <v>7914076</v>
      </c>
      <c r="F34" s="25">
        <f>E34*0.7768129</f>
        <v>6147756.3283804</v>
      </c>
      <c r="G34" s="25">
        <v>3904193</v>
      </c>
      <c r="H34" s="53">
        <f>IF(F34&gt;G34,0,(G34-F34))</f>
        <v>0</v>
      </c>
      <c r="I34" s="25">
        <f>MAX(F34,G34)</f>
        <v>6147756.3283804</v>
      </c>
      <c r="J34" s="23"/>
      <c r="K34" s="23"/>
      <c r="L34" s="25"/>
      <c r="M34" s="23"/>
    </row>
    <row r="35" spans="1:13" ht="12.75">
      <c r="A35" s="23"/>
      <c r="B35" s="25"/>
      <c r="C35" s="25"/>
      <c r="D35" s="259"/>
      <c r="E35" s="25"/>
      <c r="F35" s="25"/>
      <c r="G35" s="25"/>
      <c r="H35" s="25"/>
      <c r="I35" s="25"/>
      <c r="J35" s="23"/>
      <c r="K35" s="23"/>
      <c r="L35" s="25"/>
      <c r="M35" s="23"/>
    </row>
    <row r="36" spans="1:13" ht="12.75">
      <c r="A36" s="23" t="s">
        <v>21</v>
      </c>
      <c r="B36" s="25">
        <v>1112</v>
      </c>
      <c r="C36" s="25">
        <f>+B36*3247</f>
        <v>3610664</v>
      </c>
      <c r="D36" s="259">
        <v>840316</v>
      </c>
      <c r="E36" s="25">
        <v>1708465</v>
      </c>
      <c r="F36" s="25">
        <f>E36*0.7768129</f>
        <v>1327157.6511985</v>
      </c>
      <c r="G36" s="25">
        <v>2888531</v>
      </c>
      <c r="H36" s="53">
        <f>IF(F36&gt;G36,0,(G36-F36))</f>
        <v>1561373.3488015</v>
      </c>
      <c r="I36" s="25">
        <f>MAX(F36,G36)</f>
        <v>2888531</v>
      </c>
      <c r="J36" s="23"/>
      <c r="K36" s="23"/>
      <c r="L36" s="25"/>
      <c r="M36" s="23"/>
    </row>
    <row r="37" spans="1:13" ht="12.75">
      <c r="A37" s="23" t="s">
        <v>22</v>
      </c>
      <c r="B37" s="25">
        <v>7571</v>
      </c>
      <c r="C37" s="25">
        <f>+B37*3247</f>
        <v>24583037</v>
      </c>
      <c r="D37" s="259">
        <v>294838</v>
      </c>
      <c r="E37" s="25">
        <v>33152304</v>
      </c>
      <c r="F37" s="25">
        <f>E37*0.7768129</f>
        <v>25753137.4119216</v>
      </c>
      <c r="G37" s="25">
        <v>19666430</v>
      </c>
      <c r="H37" s="53">
        <f>IF(F37&gt;G37,0,(G37-F37))</f>
        <v>0</v>
      </c>
      <c r="I37" s="25">
        <f>MAX(F37,G37)</f>
        <v>25753137.4119216</v>
      </c>
      <c r="J37" s="23"/>
      <c r="K37" s="23"/>
      <c r="L37" s="25"/>
      <c r="M37" s="23"/>
    </row>
    <row r="38" spans="1:13" ht="12.75">
      <c r="A38" s="23" t="s">
        <v>23</v>
      </c>
      <c r="B38" s="25">
        <v>6261</v>
      </c>
      <c r="C38" s="25">
        <f>+B38*3247</f>
        <v>20329467</v>
      </c>
      <c r="D38" s="259">
        <v>258047</v>
      </c>
      <c r="E38" s="25">
        <v>31324840</v>
      </c>
      <c r="F38" s="25">
        <f>E38*0.7768129</f>
        <v>24333539.802436</v>
      </c>
      <c r="G38" s="25">
        <v>16263574</v>
      </c>
      <c r="H38" s="53">
        <f>IF(F38&gt;G38,0,(G38-F38))</f>
        <v>0</v>
      </c>
      <c r="I38" s="25">
        <f>MAX(F38,G38)</f>
        <v>24333539.802436</v>
      </c>
      <c r="J38" s="23"/>
      <c r="K38" s="23"/>
      <c r="L38" s="25"/>
      <c r="M38" s="23"/>
    </row>
    <row r="39" spans="1:13" ht="12.75">
      <c r="A39" s="31" t="s">
        <v>24</v>
      </c>
      <c r="B39" s="28">
        <v>2086</v>
      </c>
      <c r="C39" s="28">
        <f>+B39*3247</f>
        <v>6773242</v>
      </c>
      <c r="D39" s="275">
        <v>1039354</v>
      </c>
      <c r="E39" s="28">
        <v>2591163</v>
      </c>
      <c r="F39" s="28">
        <f>E39*0.7768129</f>
        <v>2012848.8444027</v>
      </c>
      <c r="G39" s="28">
        <v>5418594</v>
      </c>
      <c r="H39" s="163">
        <f>IF(F39&gt;G39,0,(G39-F39))</f>
        <v>3405745.1555973003</v>
      </c>
      <c r="I39" s="28">
        <f>MAX(F39,G39)</f>
        <v>5418594</v>
      </c>
      <c r="J39" s="23"/>
      <c r="K39" s="23"/>
      <c r="L39" s="25"/>
      <c r="M39" s="23"/>
    </row>
    <row r="40" spans="1:13" ht="12.75">
      <c r="A40" s="33"/>
      <c r="B40" s="33"/>
      <c r="C40" s="33"/>
      <c r="D40" s="317"/>
      <c r="E40" s="33"/>
      <c r="F40" s="33"/>
      <c r="G40" s="33"/>
      <c r="H40" s="33"/>
      <c r="I40" s="33"/>
      <c r="J40" s="23"/>
      <c r="K40" s="23"/>
      <c r="L40" s="25"/>
      <c r="M40" s="23"/>
    </row>
    <row r="41" spans="1:13" ht="12.75">
      <c r="A41" s="23" t="s">
        <v>101</v>
      </c>
      <c r="B41" s="25"/>
      <c r="C41" s="25"/>
      <c r="D41" s="259"/>
      <c r="E41" s="25"/>
      <c r="F41" s="25"/>
      <c r="G41" s="25"/>
      <c r="H41" s="25"/>
      <c r="I41" s="25"/>
      <c r="J41" s="23"/>
      <c r="K41" s="23"/>
      <c r="L41" s="25"/>
      <c r="M41" s="23"/>
    </row>
    <row r="42" spans="1:13" ht="12.75">
      <c r="A42" s="23"/>
      <c r="B42" s="25"/>
      <c r="C42" s="25"/>
      <c r="D42" s="259"/>
      <c r="E42" s="25"/>
      <c r="F42" s="25"/>
      <c r="G42" s="25"/>
      <c r="H42" s="25"/>
      <c r="I42" s="25"/>
      <c r="J42" s="23"/>
      <c r="K42" s="23"/>
      <c r="L42" s="25"/>
      <c r="M42" s="23"/>
    </row>
    <row r="43" spans="1:13" ht="12.75">
      <c r="A43" t="s">
        <v>273</v>
      </c>
      <c r="B43" s="25"/>
      <c r="C43" s="25"/>
      <c r="D43" s="259"/>
      <c r="E43" s="25"/>
      <c r="F43" s="25"/>
      <c r="G43" s="25"/>
      <c r="H43" s="25"/>
      <c r="I43" s="25"/>
      <c r="J43" s="23"/>
      <c r="K43" s="23"/>
      <c r="L43" s="25"/>
      <c r="M43" s="23"/>
    </row>
    <row r="44" spans="1:13" ht="12.75">
      <c r="A44" s="23"/>
      <c r="B44" s="25"/>
      <c r="C44" s="25"/>
      <c r="D44" s="259"/>
      <c r="E44" s="25"/>
      <c r="F44" s="25"/>
      <c r="G44" s="25"/>
      <c r="H44" s="25"/>
      <c r="I44" s="25"/>
      <c r="J44" s="23"/>
      <c r="K44" s="23"/>
      <c r="L44" s="25"/>
      <c r="M44" s="23"/>
    </row>
    <row r="45" spans="1:13" ht="12.75">
      <c r="A45" s="23"/>
      <c r="B45" s="25"/>
      <c r="C45" s="25"/>
      <c r="D45" s="259"/>
      <c r="E45" s="25"/>
      <c r="F45" s="25"/>
      <c r="G45" s="25"/>
      <c r="H45" s="25"/>
      <c r="I45" s="25"/>
      <c r="J45" s="23"/>
      <c r="K45" s="23"/>
      <c r="L45" s="23"/>
      <c r="M45" s="23"/>
    </row>
    <row r="46" spans="1:13" ht="12.75">
      <c r="A46" s="23"/>
      <c r="B46" s="25"/>
      <c r="C46" s="25"/>
      <c r="D46" s="259"/>
      <c r="E46" s="25"/>
      <c r="F46" s="25"/>
      <c r="G46" s="25"/>
      <c r="H46" s="25"/>
      <c r="I46" s="25"/>
      <c r="J46" s="23"/>
      <c r="K46" s="23"/>
      <c r="L46" s="23"/>
      <c r="M46" s="23"/>
    </row>
    <row r="47" spans="1:13" ht="12.75">
      <c r="A47" s="23"/>
      <c r="B47" s="25"/>
      <c r="C47" s="25"/>
      <c r="D47" s="259"/>
      <c r="E47" s="25"/>
      <c r="F47" s="25"/>
      <c r="G47" s="25"/>
      <c r="H47" s="25"/>
      <c r="I47" s="25"/>
      <c r="J47" s="23"/>
      <c r="K47" s="23"/>
      <c r="L47" s="23"/>
      <c r="M47" s="23"/>
    </row>
    <row r="48" spans="1:13" ht="12.75">
      <c r="A48" s="23"/>
      <c r="B48" s="25"/>
      <c r="C48" s="25"/>
      <c r="D48" s="259"/>
      <c r="E48" s="25"/>
      <c r="F48" s="25"/>
      <c r="G48" s="25"/>
      <c r="H48" s="25"/>
      <c r="I48" s="25"/>
      <c r="J48" s="23"/>
      <c r="K48" s="23"/>
      <c r="L48" s="23"/>
      <c r="M48" s="23"/>
    </row>
    <row r="49" spans="1:13" ht="12.75">
      <c r="A49" s="23"/>
      <c r="B49" s="25"/>
      <c r="C49" s="25"/>
      <c r="D49" s="259"/>
      <c r="E49" s="25"/>
      <c r="F49" s="25"/>
      <c r="G49" s="25"/>
      <c r="H49" s="25"/>
      <c r="I49" s="25"/>
      <c r="J49" s="23"/>
      <c r="K49" s="23"/>
      <c r="L49" s="23"/>
      <c r="M49" s="23"/>
    </row>
    <row r="50" spans="1:13" ht="12.75">
      <c r="A50" s="23"/>
      <c r="B50" s="25"/>
      <c r="C50" s="25"/>
      <c r="D50" s="259"/>
      <c r="E50" s="25"/>
      <c r="F50" s="25"/>
      <c r="G50" s="25"/>
      <c r="H50" s="25"/>
      <c r="I50" s="25"/>
      <c r="J50" s="23"/>
      <c r="K50" s="23"/>
      <c r="L50" s="23"/>
      <c r="M50" s="23"/>
    </row>
    <row r="51" spans="1:13" ht="12.75">
      <c r="A51" s="23"/>
      <c r="B51" s="25"/>
      <c r="C51" s="25"/>
      <c r="D51" s="259"/>
      <c r="E51" s="25"/>
      <c r="F51" s="25"/>
      <c r="G51" s="25"/>
      <c r="H51" s="25"/>
      <c r="I51" s="25"/>
      <c r="J51" s="23"/>
      <c r="K51" s="23"/>
      <c r="L51" s="23"/>
      <c r="M51" s="23"/>
    </row>
    <row r="52" spans="1:13" ht="12.75">
      <c r="A52" s="23"/>
      <c r="B52" s="25"/>
      <c r="C52" s="25"/>
      <c r="D52" s="259"/>
      <c r="E52" s="25"/>
      <c r="F52" s="25"/>
      <c r="G52" s="25"/>
      <c r="H52" s="25"/>
      <c r="I52" s="25"/>
      <c r="J52" s="23"/>
      <c r="K52" s="23"/>
      <c r="L52" s="23"/>
      <c r="M52" s="23"/>
    </row>
    <row r="53" spans="1:13" ht="12.75">
      <c r="A53" s="23"/>
      <c r="B53" s="25"/>
      <c r="C53" s="25"/>
      <c r="D53" s="259"/>
      <c r="E53" s="25"/>
      <c r="F53" s="25"/>
      <c r="G53" s="25"/>
      <c r="H53" s="25"/>
      <c r="I53" s="25"/>
      <c r="J53" s="23"/>
      <c r="K53" s="23"/>
      <c r="L53" s="23"/>
      <c r="M53" s="23"/>
    </row>
    <row r="54" spans="1:13" ht="12.75">
      <c r="A54" s="23"/>
      <c r="B54" s="25"/>
      <c r="C54" s="25"/>
      <c r="D54" s="259"/>
      <c r="E54" s="25"/>
      <c r="F54" s="25"/>
      <c r="G54" s="25"/>
      <c r="H54" s="25"/>
      <c r="I54" s="25"/>
      <c r="J54" s="23"/>
      <c r="K54" s="23"/>
      <c r="L54" s="23"/>
      <c r="M54" s="23"/>
    </row>
    <row r="55" spans="1:13" ht="12.75">
      <c r="A55" s="23"/>
      <c r="B55" s="25"/>
      <c r="C55" s="25"/>
      <c r="D55" s="259"/>
      <c r="E55" s="25"/>
      <c r="F55" s="25"/>
      <c r="G55" s="25"/>
      <c r="H55" s="25"/>
      <c r="I55" s="25"/>
      <c r="J55" s="23"/>
      <c r="K55" s="23"/>
      <c r="L55" s="23"/>
      <c r="M55" s="23"/>
    </row>
    <row r="56" spans="1:13" ht="12.75">
      <c r="A56" s="23"/>
      <c r="B56" s="25"/>
      <c r="C56" s="25"/>
      <c r="D56" s="259"/>
      <c r="E56" s="25"/>
      <c r="F56" s="25"/>
      <c r="G56" s="25"/>
      <c r="H56" s="25"/>
      <c r="I56" s="25"/>
      <c r="J56" s="23"/>
      <c r="K56" s="23"/>
      <c r="L56" s="23"/>
      <c r="M56" s="23"/>
    </row>
    <row r="57" spans="1:13" ht="12.75">
      <c r="A57" s="23"/>
      <c r="B57" s="25"/>
      <c r="C57" s="25"/>
      <c r="D57" s="259"/>
      <c r="E57" s="25"/>
      <c r="F57" s="25"/>
      <c r="G57" s="25"/>
      <c r="H57" s="25"/>
      <c r="I57" s="25"/>
      <c r="J57" s="23"/>
      <c r="K57" s="23"/>
      <c r="L57" s="23"/>
      <c r="M57" s="23"/>
    </row>
    <row r="58" spans="1:13" ht="12.75">
      <c r="A58" s="23"/>
      <c r="B58" s="25"/>
      <c r="C58" s="25"/>
      <c r="D58" s="259"/>
      <c r="E58" s="25"/>
      <c r="F58" s="25"/>
      <c r="G58" s="25"/>
      <c r="H58" s="25"/>
      <c r="I58" s="25"/>
      <c r="J58" s="23"/>
      <c r="K58" s="23"/>
      <c r="L58" s="23"/>
      <c r="M58" s="23"/>
    </row>
    <row r="59" spans="1:13" ht="12.75">
      <c r="A59" s="23"/>
      <c r="B59" s="25"/>
      <c r="C59" s="25"/>
      <c r="D59" s="259"/>
      <c r="E59" s="25"/>
      <c r="F59" s="25"/>
      <c r="G59" s="25"/>
      <c r="H59" s="25"/>
      <c r="I59" s="25"/>
      <c r="J59" s="23"/>
      <c r="K59" s="23"/>
      <c r="L59" s="23"/>
      <c r="M59" s="23"/>
    </row>
    <row r="60" spans="1:13" ht="12.75">
      <c r="A60" s="23"/>
      <c r="B60" s="25"/>
      <c r="C60" s="25"/>
      <c r="D60" s="259"/>
      <c r="E60" s="25"/>
      <c r="F60" s="25"/>
      <c r="G60" s="25"/>
      <c r="H60" s="25"/>
      <c r="I60" s="25"/>
      <c r="J60" s="23"/>
      <c r="K60" s="23"/>
      <c r="L60" s="23"/>
      <c r="M60" s="23"/>
    </row>
    <row r="61" spans="1:13" ht="12.75">
      <c r="A61" s="23"/>
      <c r="B61" s="25"/>
      <c r="C61" s="25"/>
      <c r="D61" s="259"/>
      <c r="E61" s="25"/>
      <c r="F61" s="25"/>
      <c r="G61" s="25"/>
      <c r="H61" s="25"/>
      <c r="I61" s="25"/>
      <c r="J61" s="23"/>
      <c r="K61" s="23"/>
      <c r="L61" s="23"/>
      <c r="M61" s="23"/>
    </row>
    <row r="62" spans="1:13" ht="12.75">
      <c r="A62" s="23"/>
      <c r="B62" s="25"/>
      <c r="C62" s="25"/>
      <c r="D62" s="259"/>
      <c r="E62" s="25"/>
      <c r="F62" s="25"/>
      <c r="G62" s="25"/>
      <c r="H62" s="25"/>
      <c r="I62" s="25"/>
      <c r="J62" s="23"/>
      <c r="K62" s="23"/>
      <c r="L62" s="23"/>
      <c r="M62" s="23"/>
    </row>
    <row r="63" spans="1:13" ht="12.75">
      <c r="A63" s="23"/>
      <c r="B63" s="25"/>
      <c r="C63" s="25"/>
      <c r="D63" s="259"/>
      <c r="E63" s="25"/>
      <c r="F63" s="25"/>
      <c r="G63" s="25"/>
      <c r="H63" s="25"/>
      <c r="I63" s="25"/>
      <c r="J63" s="23"/>
      <c r="K63" s="23"/>
      <c r="L63" s="23"/>
      <c r="M63" s="23"/>
    </row>
    <row r="64" spans="1:13" ht="12.75">
      <c r="A64" s="23"/>
      <c r="B64" s="25"/>
      <c r="C64" s="25"/>
      <c r="D64" s="259"/>
      <c r="E64" s="25"/>
      <c r="F64" s="25"/>
      <c r="G64" s="25"/>
      <c r="H64" s="25"/>
      <c r="I64" s="25"/>
      <c r="J64" s="23"/>
      <c r="K64" s="23"/>
      <c r="L64" s="23"/>
      <c r="M64" s="23"/>
    </row>
    <row r="65" spans="1:13" ht="12.75">
      <c r="A65" s="23"/>
      <c r="B65" s="25"/>
      <c r="C65" s="25"/>
      <c r="D65" s="259"/>
      <c r="E65" s="25"/>
      <c r="F65" s="25"/>
      <c r="G65" s="25"/>
      <c r="H65" s="25"/>
      <c r="I65" s="25"/>
      <c r="J65" s="23"/>
      <c r="K65" s="23"/>
      <c r="L65" s="23"/>
      <c r="M65" s="23"/>
    </row>
    <row r="66" spans="1:13" ht="12.75">
      <c r="A66" s="23"/>
      <c r="B66" s="25"/>
      <c r="C66" s="25"/>
      <c r="D66" s="259"/>
      <c r="E66" s="25"/>
      <c r="F66" s="25"/>
      <c r="G66" s="25"/>
      <c r="H66" s="25"/>
      <c r="I66" s="25"/>
      <c r="J66" s="23"/>
      <c r="K66" s="23"/>
      <c r="L66" s="23"/>
      <c r="M66" s="23"/>
    </row>
    <row r="67" spans="1:13" ht="12.75">
      <c r="A67" s="23"/>
      <c r="B67" s="25"/>
      <c r="C67" s="25"/>
      <c r="D67" s="259"/>
      <c r="E67" s="25"/>
      <c r="F67" s="25"/>
      <c r="G67" s="25"/>
      <c r="H67" s="25"/>
      <c r="I67" s="25"/>
      <c r="J67" s="23"/>
      <c r="K67" s="23"/>
      <c r="L67" s="23"/>
      <c r="M67" s="23"/>
    </row>
    <row r="68" spans="1:13" ht="12.75">
      <c r="A68" s="23"/>
      <c r="B68" s="25"/>
      <c r="C68" s="25"/>
      <c r="D68" s="259"/>
      <c r="E68" s="25"/>
      <c r="F68" s="25"/>
      <c r="G68" s="25"/>
      <c r="H68" s="25"/>
      <c r="I68" s="25"/>
      <c r="J68" s="23"/>
      <c r="K68" s="23"/>
      <c r="L68" s="23"/>
      <c r="M68" s="23"/>
    </row>
    <row r="69" spans="1:13" ht="12.75">
      <c r="A69" s="23"/>
      <c r="B69" s="25"/>
      <c r="C69" s="25"/>
      <c r="D69" s="259"/>
      <c r="E69" s="25"/>
      <c r="F69" s="25"/>
      <c r="G69" s="25"/>
      <c r="H69" s="25"/>
      <c r="I69" s="25"/>
      <c r="J69" s="23"/>
      <c r="K69" s="23"/>
      <c r="L69" s="23"/>
      <c r="M69" s="23"/>
    </row>
    <row r="70" spans="1:13" ht="12.75">
      <c r="A70" s="23"/>
      <c r="B70" s="25"/>
      <c r="C70" s="25"/>
      <c r="D70" s="259"/>
      <c r="E70" s="25"/>
      <c r="F70" s="25"/>
      <c r="G70" s="25"/>
      <c r="H70" s="25"/>
      <c r="I70" s="25"/>
      <c r="J70" s="23"/>
      <c r="K70" s="23"/>
      <c r="L70" s="23"/>
      <c r="M70" s="23"/>
    </row>
    <row r="71" spans="1:13" ht="12.75">
      <c r="A71" s="23"/>
      <c r="B71" s="25"/>
      <c r="C71" s="25"/>
      <c r="D71" s="259"/>
      <c r="E71" s="25"/>
      <c r="F71" s="25"/>
      <c r="G71" s="25"/>
      <c r="H71" s="25"/>
      <c r="I71" s="25"/>
      <c r="J71" s="23"/>
      <c r="K71" s="23"/>
      <c r="L71" s="23"/>
      <c r="M71" s="23"/>
    </row>
    <row r="72" spans="2:9" ht="12.75">
      <c r="B72" s="27"/>
      <c r="C72" s="27"/>
      <c r="D72" s="305"/>
      <c r="E72" s="27"/>
      <c r="F72" s="27"/>
      <c r="G72" s="27"/>
      <c r="H72" s="27"/>
      <c r="I72" s="27"/>
    </row>
    <row r="73" spans="2:9" ht="12.75">
      <c r="B73" s="27"/>
      <c r="C73" s="27"/>
      <c r="D73" s="305"/>
      <c r="E73" s="27"/>
      <c r="F73" s="27"/>
      <c r="G73" s="27"/>
      <c r="H73" s="27"/>
      <c r="I73" s="27"/>
    </row>
    <row r="74" spans="2:9" ht="12.75">
      <c r="B74" s="27"/>
      <c r="C74" s="27"/>
      <c r="D74" s="305"/>
      <c r="E74" s="27"/>
      <c r="F74" s="27"/>
      <c r="G74" s="27"/>
      <c r="H74" s="27"/>
      <c r="I74" s="27"/>
    </row>
    <row r="75" spans="2:9" ht="12.75">
      <c r="B75" s="27"/>
      <c r="C75" s="27"/>
      <c r="D75" s="305"/>
      <c r="E75" s="27"/>
      <c r="F75" s="27"/>
      <c r="G75" s="27"/>
      <c r="H75" s="27"/>
      <c r="I75" s="27"/>
    </row>
    <row r="76" spans="2:9" ht="12.75">
      <c r="B76" s="27"/>
      <c r="C76" s="27"/>
      <c r="D76" s="305"/>
      <c r="E76" s="27"/>
      <c r="F76" s="27"/>
      <c r="G76" s="27"/>
      <c r="H76" s="27"/>
      <c r="I76" s="27"/>
    </row>
    <row r="77" spans="2:9" ht="12.75">
      <c r="B77" s="27"/>
      <c r="C77" s="27"/>
      <c r="D77" s="305"/>
      <c r="E77" s="27"/>
      <c r="F77" s="27"/>
      <c r="G77" s="27"/>
      <c r="H77" s="27"/>
      <c r="I77" s="27"/>
    </row>
    <row r="78" spans="2:9" ht="12.75">
      <c r="B78" s="27"/>
      <c r="C78" s="27"/>
      <c r="D78" s="305"/>
      <c r="E78" s="27"/>
      <c r="F78" s="27"/>
      <c r="G78" s="27"/>
      <c r="H78" s="27"/>
      <c r="I78" s="27"/>
    </row>
    <row r="79" spans="2:9" ht="12.75">
      <c r="B79" s="27"/>
      <c r="C79" s="27"/>
      <c r="D79" s="305"/>
      <c r="E79" s="27"/>
      <c r="F79" s="27"/>
      <c r="G79" s="27"/>
      <c r="H79" s="27"/>
      <c r="I79" s="27"/>
    </row>
    <row r="80" spans="2:9" ht="12.75">
      <c r="B80" s="27"/>
      <c r="C80" s="27"/>
      <c r="D80" s="305"/>
      <c r="E80" s="27"/>
      <c r="F80" s="27"/>
      <c r="G80" s="27"/>
      <c r="H80" s="27"/>
      <c r="I80" s="27"/>
    </row>
    <row r="81" spans="2:9" ht="12.75">
      <c r="B81" s="27"/>
      <c r="C81" s="27"/>
      <c r="D81" s="305"/>
      <c r="E81" s="27"/>
      <c r="F81" s="27"/>
      <c r="G81" s="27"/>
      <c r="H81" s="27"/>
      <c r="I81" s="27"/>
    </row>
    <row r="82" spans="2:9" ht="12.75">
      <c r="B82" s="27"/>
      <c r="C82" s="27"/>
      <c r="D82" s="305"/>
      <c r="E82" s="27"/>
      <c r="F82" s="27"/>
      <c r="G82" s="27"/>
      <c r="H82" s="27"/>
      <c r="I82" s="27"/>
    </row>
    <row r="83" spans="2:9" ht="12.75">
      <c r="B83" s="27"/>
      <c r="C83" s="27"/>
      <c r="D83" s="305"/>
      <c r="E83" s="27"/>
      <c r="F83" s="27"/>
      <c r="G83" s="27"/>
      <c r="H83" s="27"/>
      <c r="I83" s="27"/>
    </row>
    <row r="84" spans="2:9" ht="12.75">
      <c r="B84" s="27"/>
      <c r="C84" s="27"/>
      <c r="D84" s="305"/>
      <c r="E84" s="27"/>
      <c r="F84" s="27"/>
      <c r="G84" s="27"/>
      <c r="H84" s="27"/>
      <c r="I84" s="27"/>
    </row>
    <row r="85" spans="2:9" ht="12.75">
      <c r="B85" s="27"/>
      <c r="C85" s="27"/>
      <c r="D85" s="305"/>
      <c r="E85" s="27"/>
      <c r="F85" s="27"/>
      <c r="G85" s="27"/>
      <c r="H85" s="27"/>
      <c r="I85" s="27"/>
    </row>
    <row r="86" spans="2:9" ht="12.75">
      <c r="B86" s="27"/>
      <c r="C86" s="27"/>
      <c r="D86" s="305"/>
      <c r="E86" s="27"/>
      <c r="F86" s="27"/>
      <c r="G86" s="27"/>
      <c r="H86" s="27"/>
      <c r="I86" s="27"/>
    </row>
    <row r="87" spans="2:9" ht="12.75">
      <c r="B87" s="27"/>
      <c r="C87" s="27"/>
      <c r="D87" s="305"/>
      <c r="E87" s="27"/>
      <c r="F87" s="27"/>
      <c r="G87" s="27"/>
      <c r="H87" s="27"/>
      <c r="I87" s="27"/>
    </row>
    <row r="88" spans="2:9" ht="12.75">
      <c r="B88" s="27"/>
      <c r="C88" s="27"/>
      <c r="D88" s="305"/>
      <c r="E88" s="27"/>
      <c r="F88" s="27"/>
      <c r="G88" s="27"/>
      <c r="H88" s="27"/>
      <c r="I88" s="27"/>
    </row>
    <row r="89" spans="2:9" ht="12.75">
      <c r="B89" s="27"/>
      <c r="C89" s="27"/>
      <c r="D89" s="305"/>
      <c r="E89" s="27"/>
      <c r="F89" s="27"/>
      <c r="G89" s="27"/>
      <c r="H89" s="27"/>
      <c r="I89" s="27"/>
    </row>
    <row r="90" spans="2:9" ht="12.75">
      <c r="B90" s="27"/>
      <c r="C90" s="27"/>
      <c r="D90" s="305"/>
      <c r="E90" s="27"/>
      <c r="F90" s="27"/>
      <c r="G90" s="27"/>
      <c r="H90" s="27"/>
      <c r="I90" s="27"/>
    </row>
    <row r="91" spans="2:9" ht="12.75">
      <c r="B91" s="27"/>
      <c r="C91" s="27"/>
      <c r="D91" s="305"/>
      <c r="E91" s="27"/>
      <c r="F91" s="27"/>
      <c r="G91" s="27"/>
      <c r="H91" s="27"/>
      <c r="I91" s="27"/>
    </row>
    <row r="92" spans="2:9" ht="12.75">
      <c r="B92" s="27"/>
      <c r="C92" s="27"/>
      <c r="D92" s="305"/>
      <c r="E92" s="27"/>
      <c r="F92" s="27"/>
      <c r="G92" s="27"/>
      <c r="H92" s="27"/>
      <c r="I92" s="27"/>
    </row>
    <row r="93" spans="2:9" ht="12.75">
      <c r="B93" s="27"/>
      <c r="C93" s="27"/>
      <c r="D93" s="305"/>
      <c r="E93" s="27"/>
      <c r="F93" s="27"/>
      <c r="G93" s="27"/>
      <c r="H93" s="27"/>
      <c r="I93" s="27"/>
    </row>
    <row r="94" spans="2:9" ht="12.75">
      <c r="B94" s="27"/>
      <c r="C94" s="27"/>
      <c r="D94" s="305"/>
      <c r="E94" s="27"/>
      <c r="F94" s="27"/>
      <c r="G94" s="27"/>
      <c r="H94" s="27"/>
      <c r="I94" s="27"/>
    </row>
    <row r="95" spans="2:9" ht="12.75">
      <c r="B95" s="27"/>
      <c r="C95" s="27"/>
      <c r="D95" s="305"/>
      <c r="E95" s="27"/>
      <c r="F95" s="27"/>
      <c r="G95" s="27"/>
      <c r="H95" s="27"/>
      <c r="I95" s="27"/>
    </row>
    <row r="96" spans="2:9" ht="12.75">
      <c r="B96" s="27"/>
      <c r="C96" s="27"/>
      <c r="D96" s="305"/>
      <c r="E96" s="27"/>
      <c r="F96" s="27"/>
      <c r="G96" s="27"/>
      <c r="H96" s="27"/>
      <c r="I96" s="27"/>
    </row>
    <row r="97" spans="2:9" ht="12.75">
      <c r="B97" s="27"/>
      <c r="C97" s="27"/>
      <c r="D97" s="305"/>
      <c r="E97" s="27"/>
      <c r="F97" s="27"/>
      <c r="G97" s="27"/>
      <c r="H97" s="27"/>
      <c r="I97" s="27"/>
    </row>
    <row r="98" spans="2:9" ht="12.75">
      <c r="B98" s="27"/>
      <c r="C98" s="27"/>
      <c r="D98" s="305"/>
      <c r="E98" s="27"/>
      <c r="F98" s="27"/>
      <c r="G98" s="27"/>
      <c r="H98" s="27"/>
      <c r="I98" s="27"/>
    </row>
    <row r="99" spans="2:9" ht="12.75">
      <c r="B99" s="27"/>
      <c r="C99" s="27"/>
      <c r="D99" s="305"/>
      <c r="E99" s="27"/>
      <c r="F99" s="27"/>
      <c r="G99" s="27"/>
      <c r="H99" s="27"/>
      <c r="I99" s="27"/>
    </row>
    <row r="100" spans="2:9" ht="12.75">
      <c r="B100" s="27"/>
      <c r="C100" s="27"/>
      <c r="D100" s="305"/>
      <c r="E100" s="27"/>
      <c r="F100" s="27"/>
      <c r="G100" s="27"/>
      <c r="H100" s="27"/>
      <c r="I100" s="27"/>
    </row>
    <row r="101" spans="2:9" ht="12.75">
      <c r="B101" s="27"/>
      <c r="C101" s="27"/>
      <c r="D101" s="305"/>
      <c r="E101" s="27"/>
      <c r="F101" s="27"/>
      <c r="G101" s="27"/>
      <c r="H101" s="27"/>
      <c r="I101" s="27"/>
    </row>
    <row r="102" spans="2:9" ht="12.75">
      <c r="B102" s="27"/>
      <c r="C102" s="27"/>
      <c r="D102" s="305"/>
      <c r="E102" s="27"/>
      <c r="F102" s="27"/>
      <c r="G102" s="27"/>
      <c r="H102" s="27"/>
      <c r="I102" s="27"/>
    </row>
    <row r="103" spans="2:9" ht="12.75">
      <c r="B103" s="27"/>
      <c r="C103" s="27"/>
      <c r="D103" s="305"/>
      <c r="E103" s="27"/>
      <c r="F103" s="27"/>
      <c r="G103" s="27"/>
      <c r="H103" s="27"/>
      <c r="I103" s="27"/>
    </row>
    <row r="104" spans="2:9" ht="12.75">
      <c r="B104" s="27"/>
      <c r="C104" s="27"/>
      <c r="D104" s="305"/>
      <c r="E104" s="27"/>
      <c r="F104" s="27"/>
      <c r="G104" s="27"/>
      <c r="H104" s="27"/>
      <c r="I104" s="27"/>
    </row>
    <row r="105" spans="2:9" ht="12.75">
      <c r="B105" s="27"/>
      <c r="C105" s="27"/>
      <c r="D105" s="305"/>
      <c r="E105" s="27"/>
      <c r="F105" s="27"/>
      <c r="G105" s="27"/>
      <c r="H105" s="27"/>
      <c r="I105" s="27"/>
    </row>
    <row r="106" spans="2:9" ht="12.75">
      <c r="B106" s="27"/>
      <c r="C106" s="27"/>
      <c r="D106" s="305"/>
      <c r="E106" s="27"/>
      <c r="F106" s="27"/>
      <c r="G106" s="27"/>
      <c r="H106" s="27"/>
      <c r="I106" s="27"/>
    </row>
  </sheetData>
  <sheetProtection password="CAF5" sheet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rintOptions horizontalCentered="1"/>
  <pageMargins left="0.7" right="0.75" top="0.83" bottom="0.84" header="0.67" footer="0.5"/>
  <pageSetup fitToHeight="1" fitToWidth="1" horizontalDpi="600" verticalDpi="600" orientation="landscape" scale="83" r:id="rId1"/>
  <headerFooter alignWithMargins="0">
    <oddFooter>&amp;L&amp;"Arial,Italic"&amp;9MSDE-DBS 10 / 2009&amp;C- 18 -&amp;R&amp;"Arial,Italic"&amp;9Selected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Layout" workbookViewId="0" topLeftCell="A19">
      <selection activeCell="A41" sqref="A41"/>
    </sheetView>
  </sheetViews>
  <sheetFormatPr defaultColWidth="9.140625" defaultRowHeight="12.75"/>
  <cols>
    <col min="1" max="1" width="22.00390625" style="0" customWidth="1"/>
    <col min="2" max="2" width="20.8515625" style="0" customWidth="1"/>
    <col min="3" max="3" width="17.28125" style="0" customWidth="1"/>
    <col min="4" max="4" width="18.140625" style="0" customWidth="1"/>
    <col min="5" max="5" width="19.8515625" style="113" customWidth="1"/>
    <col min="6" max="6" width="22.421875" style="0" customWidth="1"/>
  </cols>
  <sheetData>
    <row r="1" spans="1:6" ht="12.75">
      <c r="A1" s="380" t="s">
        <v>113</v>
      </c>
      <c r="B1" s="380"/>
      <c r="C1" s="380"/>
      <c r="D1" s="380"/>
      <c r="E1" s="380"/>
      <c r="F1" s="380"/>
    </row>
    <row r="2" spans="1:5" ht="13.5" customHeight="1">
      <c r="A2" s="41"/>
      <c r="E2" s="32"/>
    </row>
    <row r="3" spans="1:6" ht="12.75">
      <c r="A3" s="380" t="s">
        <v>284</v>
      </c>
      <c r="B3" s="380"/>
      <c r="C3" s="380"/>
      <c r="D3" s="380"/>
      <c r="E3" s="380"/>
      <c r="F3" s="380"/>
    </row>
    <row r="4" spans="1:6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74" t="s">
        <v>252</v>
      </c>
      <c r="C5" s="6"/>
      <c r="D5" s="6"/>
      <c r="E5" s="457" t="s">
        <v>282</v>
      </c>
      <c r="F5" s="202"/>
      <c r="G5" s="19"/>
    </row>
    <row r="6" spans="1:7" ht="12.75">
      <c r="A6" s="3" t="s">
        <v>83</v>
      </c>
      <c r="B6" s="4" t="s">
        <v>122</v>
      </c>
      <c r="C6" s="4" t="s">
        <v>108</v>
      </c>
      <c r="D6" s="4" t="s">
        <v>105</v>
      </c>
      <c r="E6" s="410"/>
      <c r="F6" s="4" t="s">
        <v>105</v>
      </c>
      <c r="G6" s="19"/>
    </row>
    <row r="7" spans="1:7" ht="12.75">
      <c r="A7" s="3" t="s">
        <v>35</v>
      </c>
      <c r="B7" s="4" t="s">
        <v>123</v>
      </c>
      <c r="C7" s="4" t="s">
        <v>109</v>
      </c>
      <c r="D7" s="4" t="s">
        <v>106</v>
      </c>
      <c r="E7" s="410"/>
      <c r="F7" s="4" t="s">
        <v>106</v>
      </c>
      <c r="G7" s="19"/>
    </row>
    <row r="8" spans="1:7" ht="13.5" thickBot="1">
      <c r="A8" s="7" t="s">
        <v>141</v>
      </c>
      <c r="B8" s="8" t="s">
        <v>107</v>
      </c>
      <c r="C8" s="8" t="s">
        <v>251</v>
      </c>
      <c r="D8" s="8" t="s">
        <v>110</v>
      </c>
      <c r="E8" s="411"/>
      <c r="F8" s="8" t="s">
        <v>111</v>
      </c>
      <c r="G8" s="19"/>
    </row>
    <row r="9" spans="1:6" ht="12.75">
      <c r="A9" s="3" t="s">
        <v>0</v>
      </c>
      <c r="B9" s="49">
        <f>SUM(B11:B38)</f>
        <v>639117952</v>
      </c>
      <c r="C9" s="104">
        <f>SUM(C11:C38)</f>
        <v>836380.2832582366</v>
      </c>
      <c r="D9" s="16">
        <f>+B9*1000/C9</f>
        <v>764147.5591823213</v>
      </c>
      <c r="E9" s="62">
        <f>SUM(E11:E45)</f>
        <v>5618899</v>
      </c>
      <c r="F9" s="49">
        <f>+B9*1000/E9</f>
        <v>113744.33888204789</v>
      </c>
    </row>
    <row r="10" spans="1:6" ht="12.75">
      <c r="A10" s="3"/>
      <c r="B10" s="3"/>
      <c r="C10" s="40"/>
      <c r="D10" s="3"/>
      <c r="E10" s="64"/>
      <c r="F10" s="2"/>
    </row>
    <row r="11" spans="1:6" ht="12.75">
      <c r="A11" s="3" t="s">
        <v>1</v>
      </c>
      <c r="B11" s="2">
        <f>3197006-228214+126501</f>
        <v>3095293</v>
      </c>
      <c r="C11" s="181">
        <v>9161.6</v>
      </c>
      <c r="D11" s="2">
        <f>+B11*1000/C11</f>
        <v>337855.06898358365</v>
      </c>
      <c r="E11" s="368">
        <v>72603</v>
      </c>
      <c r="F11" s="15">
        <f>+B11*1000/E11</f>
        <v>42633.12810765395</v>
      </c>
    </row>
    <row r="12" spans="1:6" ht="12.75">
      <c r="A12" s="3" t="s">
        <v>2</v>
      </c>
      <c r="B12" s="2">
        <v>71787490</v>
      </c>
      <c r="C12" s="181">
        <v>72579.3707970112</v>
      </c>
      <c r="D12" s="2">
        <f>+B12*1000/C12</f>
        <v>989089.4507858725</v>
      </c>
      <c r="E12" s="368">
        <v>510507</v>
      </c>
      <c r="F12" s="15">
        <f>+B12*1000/E12</f>
        <v>140619.99149864743</v>
      </c>
    </row>
    <row r="13" spans="1:6" ht="12.75">
      <c r="A13" s="3" t="s">
        <v>3</v>
      </c>
      <c r="B13" s="2">
        <v>29032305</v>
      </c>
      <c r="C13" s="181">
        <v>79529.55</v>
      </c>
      <c r="D13" s="2">
        <f>+B13*1000/C13</f>
        <v>365050.5378189616</v>
      </c>
      <c r="E13" s="369">
        <v>640150</v>
      </c>
      <c r="F13" s="15">
        <f>+B13*1000/E13</f>
        <v>45352.347106147</v>
      </c>
    </row>
    <row r="14" spans="1:6" ht="12.75">
      <c r="A14" s="3" t="s">
        <v>4</v>
      </c>
      <c r="B14" s="2">
        <v>72129480</v>
      </c>
      <c r="C14" s="181">
        <v>103862.45582685905</v>
      </c>
      <c r="D14" s="2">
        <f>+B14*1000/C14</f>
        <v>694471.1582811156</v>
      </c>
      <c r="E14" s="368">
        <v>785830</v>
      </c>
      <c r="F14" s="15">
        <f>+B14*1000/E14</f>
        <v>91787.6385477775</v>
      </c>
    </row>
    <row r="15" spans="1:6" ht="12.75">
      <c r="A15" s="3" t="s">
        <v>5</v>
      </c>
      <c r="B15" s="2">
        <v>11667003</v>
      </c>
      <c r="C15" s="181">
        <v>17270.5</v>
      </c>
      <c r="D15" s="2">
        <f>+B15*1000/C15</f>
        <v>675545.1781940303</v>
      </c>
      <c r="E15" s="368">
        <v>88145</v>
      </c>
      <c r="F15" s="15">
        <f>+B15*1000/E15</f>
        <v>132361.48391854332</v>
      </c>
    </row>
    <row r="16" spans="1:6" ht="12.75">
      <c r="A16" s="3"/>
      <c r="B16" s="2"/>
      <c r="C16" s="181"/>
      <c r="D16" s="2"/>
      <c r="E16" s="65"/>
      <c r="F16" s="15"/>
    </row>
    <row r="17" spans="1:6" ht="12.75">
      <c r="A17" s="3" t="s">
        <v>6</v>
      </c>
      <c r="B17" s="2">
        <v>2466400</v>
      </c>
      <c r="C17" s="181">
        <v>5457.25</v>
      </c>
      <c r="D17" s="2">
        <f>+B17*1000/C17</f>
        <v>451949.2418342572</v>
      </c>
      <c r="E17" s="368">
        <v>32797</v>
      </c>
      <c r="F17" s="15">
        <f>+B17*1000/E17</f>
        <v>75202.00018294356</v>
      </c>
    </row>
    <row r="18" spans="1:6" ht="12.75">
      <c r="A18" s="3" t="s">
        <v>7</v>
      </c>
      <c r="B18" s="2">
        <v>17935278</v>
      </c>
      <c r="C18" s="181">
        <v>28041.25</v>
      </c>
      <c r="D18" s="2">
        <f>+B18*1000/C18</f>
        <v>639603.370035216</v>
      </c>
      <c r="E18" s="368">
        <v>168786</v>
      </c>
      <c r="F18" s="15">
        <f>+B18*1000/E18</f>
        <v>106260.45999075753</v>
      </c>
    </row>
    <row r="19" spans="1:6" ht="12.75">
      <c r="A19" s="3" t="s">
        <v>8</v>
      </c>
      <c r="B19" s="2">
        <v>9206087</v>
      </c>
      <c r="C19" s="181">
        <v>15964.113909774436</v>
      </c>
      <c r="D19" s="2">
        <f>+B19*1000/C19</f>
        <v>576673.8481089977</v>
      </c>
      <c r="E19" s="368">
        <v>99368</v>
      </c>
      <c r="F19" s="15">
        <f>+B19*1000/E19</f>
        <v>92646.39521777634</v>
      </c>
    </row>
    <row r="20" spans="1:6" ht="12.75">
      <c r="A20" s="3" t="s">
        <v>9</v>
      </c>
      <c r="B20" s="2">
        <v>16016997</v>
      </c>
      <c r="C20" s="181">
        <v>26300.750462962962</v>
      </c>
      <c r="D20" s="2">
        <f>+B20*1000/C20</f>
        <v>608993.9153088172</v>
      </c>
      <c r="E20" s="368">
        <v>140169</v>
      </c>
      <c r="F20" s="15">
        <f>+B20*1000/E20</f>
        <v>114269.18220148535</v>
      </c>
    </row>
    <row r="21" spans="1:6" ht="12.75">
      <c r="A21" s="3" t="s">
        <v>10</v>
      </c>
      <c r="B21" s="2">
        <v>2827830</v>
      </c>
      <c r="C21" s="181">
        <v>4497.35</v>
      </c>
      <c r="D21" s="2">
        <f>+B21*1000/C21</f>
        <v>628776.9464240052</v>
      </c>
      <c r="E21" s="368">
        <v>31845</v>
      </c>
      <c r="F21" s="15">
        <f>+B21*1000/E21</f>
        <v>88799.81158737636</v>
      </c>
    </row>
    <row r="22" spans="1:6" ht="12.75">
      <c r="A22" s="3"/>
      <c r="C22" s="181"/>
      <c r="D22" s="2"/>
      <c r="E22" s="34"/>
      <c r="F22" s="15"/>
    </row>
    <row r="23" spans="1:6" ht="12.75">
      <c r="A23" s="3" t="s">
        <v>11</v>
      </c>
      <c r="B23" s="2">
        <v>26577953</v>
      </c>
      <c r="C23" s="181">
        <v>39879.86449026346</v>
      </c>
      <c r="D23" s="2">
        <f>+B23*1000/C23</f>
        <v>666450.4340652642</v>
      </c>
      <c r="E23" s="368">
        <v>224147</v>
      </c>
      <c r="F23" s="15">
        <f>+B23*1000/E23</f>
        <v>118573.76186163544</v>
      </c>
    </row>
    <row r="24" spans="1:6" ht="12.75">
      <c r="A24" s="3" t="s">
        <v>12</v>
      </c>
      <c r="B24" s="2">
        <v>3865703</v>
      </c>
      <c r="C24" s="181">
        <v>4494.6</v>
      </c>
      <c r="D24" s="2">
        <f>+B24*1000/C24</f>
        <v>860077.2037556178</v>
      </c>
      <c r="E24" s="368">
        <v>29641</v>
      </c>
      <c r="F24" s="15">
        <f>+B24*1000/E24</f>
        <v>130417.42856178942</v>
      </c>
    </row>
    <row r="25" spans="1:6" ht="12.75">
      <c r="A25" s="3" t="s">
        <v>13</v>
      </c>
      <c r="B25" s="2">
        <v>22974307</v>
      </c>
      <c r="C25" s="181">
        <v>38941.5</v>
      </c>
      <c r="D25" s="2">
        <f>+B25*1000/C25</f>
        <v>589969.7494960389</v>
      </c>
      <c r="E25" s="368">
        <v>239406</v>
      </c>
      <c r="F25" s="15">
        <f>+B25*1000/E25</f>
        <v>95963.7895457925</v>
      </c>
    </row>
    <row r="26" spans="1:6" ht="12.75">
      <c r="A26" s="3" t="s">
        <v>14</v>
      </c>
      <c r="B26" s="2">
        <v>42056223</v>
      </c>
      <c r="C26" s="181">
        <v>49693.9</v>
      </c>
      <c r="D26" s="2">
        <f>+B26*1000/C26</f>
        <v>846305.542531377</v>
      </c>
      <c r="E26" s="368">
        <v>272611</v>
      </c>
      <c r="F26" s="15">
        <f>+B26*1000/E26</f>
        <v>154271.92226285808</v>
      </c>
    </row>
    <row r="27" spans="1:6" ht="12.75">
      <c r="A27" s="3" t="s">
        <v>15</v>
      </c>
      <c r="B27" s="2">
        <v>2535994</v>
      </c>
      <c r="C27" s="181">
        <v>2217.4411764705883</v>
      </c>
      <c r="D27" s="2">
        <f>+B27*1000/C27</f>
        <v>1143657.846219145</v>
      </c>
      <c r="E27" s="368">
        <v>19879</v>
      </c>
      <c r="F27" s="15">
        <f>+B27*1000/E27</f>
        <v>127571.5076211077</v>
      </c>
    </row>
    <row r="28" spans="1:6" ht="12.75">
      <c r="A28" s="3"/>
      <c r="C28" s="181"/>
      <c r="D28" s="2"/>
      <c r="E28" s="34"/>
      <c r="F28" s="15"/>
    </row>
    <row r="29" spans="1:6" ht="12.75">
      <c r="A29" s="3" t="s">
        <v>16</v>
      </c>
      <c r="B29" s="2">
        <v>168428916</v>
      </c>
      <c r="C29" s="181">
        <v>136631.46331254105</v>
      </c>
      <c r="D29" s="2">
        <f>+B29*1000/C29</f>
        <v>1232724.234349471</v>
      </c>
      <c r="E29" s="368">
        <v>941491</v>
      </c>
      <c r="F29" s="15">
        <f>+B30*1000/E29</f>
        <v>79058.53481339705</v>
      </c>
    </row>
    <row r="30" spans="1:6" ht="12.75">
      <c r="A30" s="3" t="s">
        <v>17</v>
      </c>
      <c r="B30" s="2">
        <v>74432899</v>
      </c>
      <c r="C30" s="181">
        <v>128679.8288554217</v>
      </c>
      <c r="D30" s="2">
        <f>+B30*1000/C30</f>
        <v>578434.8616412067</v>
      </c>
      <c r="E30" s="368">
        <v>825318</v>
      </c>
      <c r="F30" s="15">
        <f>+B30*1000/E30</f>
        <v>90186.93279438956</v>
      </c>
    </row>
    <row r="31" spans="1:6" ht="12.75">
      <c r="A31" s="3" t="s">
        <v>18</v>
      </c>
      <c r="B31" s="2">
        <v>7359731</v>
      </c>
      <c r="C31" s="181">
        <v>7621.4</v>
      </c>
      <c r="D31" s="2">
        <f>+B31*1000/C31</f>
        <v>965666.5442044769</v>
      </c>
      <c r="E31" s="368">
        <v>46515</v>
      </c>
      <c r="F31" s="15">
        <f>+B31*1000/E31</f>
        <v>158222.74535096207</v>
      </c>
    </row>
    <row r="32" spans="1:6" ht="12.75">
      <c r="A32" s="3" t="s">
        <v>19</v>
      </c>
      <c r="B32" s="2">
        <v>9796841</v>
      </c>
      <c r="C32" s="181">
        <v>16396.85</v>
      </c>
      <c r="D32" s="2">
        <f>+B32*1000/C32</f>
        <v>597483.1141347272</v>
      </c>
      <c r="E32" s="368">
        <v>100262</v>
      </c>
      <c r="F32" s="15">
        <f>+B32*1000/E32</f>
        <v>97712.4035028226</v>
      </c>
    </row>
    <row r="33" spans="1:6" ht="12.75">
      <c r="A33" s="3" t="s">
        <v>20</v>
      </c>
      <c r="B33" s="2">
        <v>1398223</v>
      </c>
      <c r="C33" s="181">
        <v>2776.644034090909</v>
      </c>
      <c r="D33" s="2">
        <f>+B33*1000/C33</f>
        <v>503565.80924057384</v>
      </c>
      <c r="E33" s="368">
        <v>26147</v>
      </c>
      <c r="F33" s="15">
        <f>+B33*1000/E33</f>
        <v>53475.46563659311</v>
      </c>
    </row>
    <row r="34" spans="1:6" ht="12.75">
      <c r="A34" s="3"/>
      <c r="B34" s="2"/>
      <c r="C34" s="181"/>
      <c r="D34" s="2"/>
      <c r="E34" s="34"/>
      <c r="F34" s="15"/>
    </row>
    <row r="35" spans="1:6" ht="12.75">
      <c r="A35" s="3" t="s">
        <v>21</v>
      </c>
      <c r="B35" s="2">
        <v>7929251</v>
      </c>
      <c r="C35" s="181">
        <v>4309.65</v>
      </c>
      <c r="D35" s="2">
        <f>+B35*1000/C35</f>
        <v>1839882.8211107631</v>
      </c>
      <c r="E35" s="183">
        <v>36132</v>
      </c>
      <c r="F35" s="15">
        <f>+B35*1000/E35</f>
        <v>219452.31373851435</v>
      </c>
    </row>
    <row r="36" spans="1:6" ht="12.75">
      <c r="A36" s="3" t="s">
        <v>22</v>
      </c>
      <c r="B36" s="2">
        <v>11941203</v>
      </c>
      <c r="C36" s="181">
        <v>21398.512401574804</v>
      </c>
      <c r="D36" s="2">
        <f>+B36*1000/C36</f>
        <v>558038.9316745774</v>
      </c>
      <c r="E36" s="183">
        <v>144662</v>
      </c>
      <c r="F36" s="15">
        <f>+B36*1000/E36</f>
        <v>82545.5406395598</v>
      </c>
    </row>
    <row r="37" spans="1:6" ht="12.75">
      <c r="A37" s="3" t="s">
        <v>23</v>
      </c>
      <c r="B37" s="2">
        <f>6385253-377176+309767</f>
        <v>6317844</v>
      </c>
      <c r="C37" s="181">
        <v>14146.337991266375</v>
      </c>
      <c r="D37" s="2">
        <f>+B37*1000/C37</f>
        <v>446606.32341037603</v>
      </c>
      <c r="E37" s="183">
        <v>93218</v>
      </c>
      <c r="F37" s="15">
        <f>+B37*1000/E37</f>
        <v>67774.93617112575</v>
      </c>
    </row>
    <row r="38" spans="1:6" ht="13.5" thickBot="1">
      <c r="A38" s="7" t="s">
        <v>24</v>
      </c>
      <c r="B38" s="106">
        <f>17338848-197123+196976</f>
        <v>17338701</v>
      </c>
      <c r="C38" s="182">
        <v>6528.1</v>
      </c>
      <c r="D38" s="106">
        <f>+B38*1000/C38</f>
        <v>2656010.324596743</v>
      </c>
      <c r="E38" s="184">
        <v>49270</v>
      </c>
      <c r="F38" s="107">
        <f>+B38*1000/E38</f>
        <v>351911.9342399026</v>
      </c>
    </row>
    <row r="39" spans="1:6" ht="12.75">
      <c r="A39" s="77" t="s">
        <v>280</v>
      </c>
      <c r="B39" s="2"/>
      <c r="C39" s="2"/>
      <c r="D39" s="2"/>
      <c r="E39" s="168"/>
      <c r="F39" s="15"/>
    </row>
    <row r="40" ht="12.75">
      <c r="A40" s="77" t="s">
        <v>281</v>
      </c>
    </row>
    <row r="41" ht="12.75">
      <c r="A41" s="77" t="s">
        <v>292</v>
      </c>
    </row>
    <row r="42" ht="12.75">
      <c r="A42" s="3" t="s">
        <v>283</v>
      </c>
    </row>
    <row r="43" ht="12.75">
      <c r="A43" s="3"/>
    </row>
    <row r="44" ht="12.75">
      <c r="A44" s="110" t="s">
        <v>288</v>
      </c>
    </row>
    <row r="45" ht="12.75">
      <c r="A45" s="105" t="s">
        <v>289</v>
      </c>
    </row>
    <row r="46" ht="12.75">
      <c r="A46" s="105" t="s">
        <v>290</v>
      </c>
    </row>
    <row r="47" spans="4:5" ht="12.75">
      <c r="D47" s="40"/>
      <c r="E47"/>
    </row>
    <row r="48" spans="4:5" ht="12.75">
      <c r="D48" s="40"/>
      <c r="E48"/>
    </row>
    <row r="49" spans="4:5" ht="12.75">
      <c r="D49" s="40"/>
      <c r="E49"/>
    </row>
    <row r="50" spans="4:5" ht="12.75">
      <c r="D50" s="40"/>
      <c r="E50"/>
    </row>
    <row r="51" spans="4:5" ht="12.75">
      <c r="D51" s="40"/>
      <c r="E51"/>
    </row>
    <row r="52" spans="4:5" ht="12.75">
      <c r="D52" s="40"/>
      <c r="E52"/>
    </row>
    <row r="53" spans="4:5" ht="12.75">
      <c r="D53" s="40"/>
      <c r="E53"/>
    </row>
    <row r="54" spans="4:5" ht="12.75">
      <c r="D54" s="40"/>
      <c r="E54"/>
    </row>
    <row r="55" spans="4:5" ht="12.75">
      <c r="D55" s="40"/>
      <c r="E55"/>
    </row>
    <row r="56" spans="4:5" ht="12.75">
      <c r="D56" s="40"/>
      <c r="E56"/>
    </row>
    <row r="57" spans="4:5" ht="12.75">
      <c r="D57" s="40"/>
      <c r="E57"/>
    </row>
    <row r="58" spans="4:5" ht="12.75">
      <c r="D58" s="40"/>
      <c r="E58"/>
    </row>
    <row r="59" spans="4:5" ht="12.75">
      <c r="D59" s="40"/>
      <c r="E59"/>
    </row>
    <row r="60" spans="4:5" ht="12.75">
      <c r="D60" s="40"/>
      <c r="E60"/>
    </row>
    <row r="61" spans="4:5" ht="12.75">
      <c r="D61" s="40"/>
      <c r="E61"/>
    </row>
    <row r="62" spans="4:5" ht="12.75">
      <c r="D62" s="40"/>
      <c r="E62"/>
    </row>
    <row r="63" spans="4:5" ht="12.75">
      <c r="D63" s="40"/>
      <c r="E63"/>
    </row>
    <row r="64" spans="4:5" ht="12.75">
      <c r="D64" s="40"/>
      <c r="E64"/>
    </row>
    <row r="65" spans="4:5" ht="12.75">
      <c r="D65" s="40"/>
      <c r="E65"/>
    </row>
    <row r="66" spans="4:5" ht="12.75">
      <c r="D66" s="40"/>
      <c r="E66"/>
    </row>
    <row r="67" spans="4:5" ht="12.75">
      <c r="D67" s="40"/>
      <c r="E67"/>
    </row>
    <row r="68" spans="4:5" ht="12.75">
      <c r="D68" s="40"/>
      <c r="E68"/>
    </row>
    <row r="69" spans="4:5" ht="12.75">
      <c r="D69" s="40"/>
      <c r="E69"/>
    </row>
    <row r="70" spans="4:5" ht="12.75">
      <c r="D70" s="40"/>
      <c r="E70"/>
    </row>
    <row r="71" spans="4:5" ht="12.75">
      <c r="D71" s="40"/>
      <c r="E71"/>
    </row>
    <row r="72" spans="4:5" ht="12.75">
      <c r="D72" s="40"/>
      <c r="E72"/>
    </row>
    <row r="73" spans="4:5" ht="12.75">
      <c r="D73" s="40"/>
      <c r="E73"/>
    </row>
    <row r="74" spans="4:5" ht="12.75">
      <c r="D74" s="40"/>
      <c r="E74"/>
    </row>
    <row r="75" spans="4:5" ht="12.75">
      <c r="D75" s="40"/>
      <c r="E75"/>
    </row>
    <row r="76" spans="4:5" ht="12.75">
      <c r="D76" s="40"/>
      <c r="E76"/>
    </row>
  </sheetData>
  <sheetProtection password="CAF5" sheet="1"/>
  <mergeCells count="3">
    <mergeCell ref="A1:F1"/>
    <mergeCell ref="A3:F3"/>
    <mergeCell ref="E5:E8"/>
  </mergeCells>
  <printOptions horizontalCentered="1"/>
  <pageMargins left="0.75" right="0.75" top="0.83" bottom="1" header="0.67" footer="0.5"/>
  <pageSetup fitToHeight="1" fitToWidth="1" horizontalDpi="600" verticalDpi="600" orientation="landscape" scale="83" r:id="rId1"/>
  <headerFooter alignWithMargins="0">
    <oddHeader>&amp;R
</oddHeader>
    <oddFooter>&amp;L&amp;"Arial,Italic"&amp;9MSDE-DBS 10 / 2009&amp;C- 19 -&amp;R&amp;"Arial,Italic"&amp;9Selected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view="pageLayout" workbookViewId="0" topLeftCell="A1">
      <selection activeCell="D23" sqref="D23"/>
    </sheetView>
  </sheetViews>
  <sheetFormatPr defaultColWidth="9.140625" defaultRowHeight="12.75"/>
  <cols>
    <col min="1" max="1" width="14.140625" style="113" customWidth="1"/>
    <col min="2" max="2" width="16.7109375" style="113" customWidth="1"/>
    <col min="3" max="3" width="17.7109375" style="113" bestFit="1" customWidth="1"/>
    <col min="4" max="4" width="15.28125" style="113" customWidth="1"/>
    <col min="5" max="5" width="17.7109375" style="113" bestFit="1" customWidth="1"/>
    <col min="6" max="6" width="14.8515625" style="113" bestFit="1" customWidth="1"/>
    <col min="7" max="7" width="13.28125" style="113" customWidth="1"/>
    <col min="8" max="8" width="2.7109375" style="113" customWidth="1"/>
    <col min="9" max="12" width="9.140625" style="113" customWidth="1"/>
    <col min="14" max="14" width="16.00390625" style="58" bestFit="1" customWidth="1"/>
    <col min="15" max="15" width="15.00390625" style="59" bestFit="1" customWidth="1"/>
    <col min="16" max="16" width="14.00390625" style="59" bestFit="1" customWidth="1"/>
    <col min="17" max="17" width="16.00390625" style="59" bestFit="1" customWidth="1"/>
  </cols>
  <sheetData>
    <row r="1" spans="1:12" ht="12.75">
      <c r="A1" s="374" t="s">
        <v>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2.75">
      <c r="A2" s="23"/>
      <c r="B2" s="23"/>
      <c r="C2" s="111"/>
      <c r="D2" s="112"/>
      <c r="E2" s="23"/>
      <c r="F2" s="23"/>
      <c r="G2" s="23"/>
      <c r="H2" s="23"/>
      <c r="I2" s="23"/>
      <c r="J2" s="23"/>
      <c r="K2" s="23"/>
      <c r="L2" s="23"/>
    </row>
    <row r="3" spans="1:17" s="34" customFormat="1" ht="12.75">
      <c r="A3" s="379" t="s">
        <v>254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N3" s="77"/>
      <c r="O3" s="110"/>
      <c r="P3" s="110"/>
      <c r="Q3" s="110"/>
    </row>
    <row r="4" spans="1:12" ht="12.75">
      <c r="A4" s="375" t="s">
        <v>154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ht="13.5" thickBot="1">
      <c r="I5" s="114"/>
    </row>
    <row r="6" spans="1:59" ht="15" customHeight="1" thickTop="1">
      <c r="A6" s="115" t="s">
        <v>83</v>
      </c>
      <c r="B6" s="116" t="s">
        <v>45</v>
      </c>
      <c r="C6" s="377" t="s">
        <v>86</v>
      </c>
      <c r="D6" s="377"/>
      <c r="E6" s="378"/>
      <c r="F6" s="378"/>
      <c r="G6" s="115"/>
      <c r="H6" s="115"/>
      <c r="I6" s="377" t="s">
        <v>88</v>
      </c>
      <c r="J6" s="377"/>
      <c r="K6" s="377"/>
      <c r="L6" s="377"/>
      <c r="M6" s="19"/>
      <c r="N6" s="99"/>
      <c r="O6" s="79"/>
      <c r="P6" s="79"/>
      <c r="Q6" s="7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117" t="s">
        <v>35</v>
      </c>
      <c r="B7" s="118" t="s">
        <v>89</v>
      </c>
      <c r="C7" s="376" t="s">
        <v>83</v>
      </c>
      <c r="D7" s="376"/>
      <c r="E7" s="119"/>
      <c r="F7" s="119"/>
      <c r="G7" s="118" t="s">
        <v>85</v>
      </c>
      <c r="H7" s="118"/>
      <c r="I7" s="120"/>
      <c r="J7" s="120"/>
      <c r="K7" s="120"/>
      <c r="L7" s="120" t="s">
        <v>85</v>
      </c>
    </row>
    <row r="8" spans="1:12" ht="13.5" thickBot="1">
      <c r="A8" s="121" t="s">
        <v>141</v>
      </c>
      <c r="B8" s="122" t="s">
        <v>90</v>
      </c>
      <c r="C8" s="123" t="s">
        <v>234</v>
      </c>
      <c r="D8" s="123" t="s">
        <v>236</v>
      </c>
      <c r="E8" s="123" t="s">
        <v>46</v>
      </c>
      <c r="F8" s="123" t="s">
        <v>53</v>
      </c>
      <c r="G8" s="123" t="s">
        <v>87</v>
      </c>
      <c r="H8" s="123"/>
      <c r="I8" s="122" t="s">
        <v>83</v>
      </c>
      <c r="J8" s="122" t="s">
        <v>46</v>
      </c>
      <c r="K8" s="124" t="s">
        <v>53</v>
      </c>
      <c r="L8" s="123" t="s">
        <v>87</v>
      </c>
    </row>
    <row r="9" spans="1:17" ht="12.75">
      <c r="A9" s="125" t="s">
        <v>0</v>
      </c>
      <c r="B9" s="126">
        <f aca="true" t="shared" si="0" ref="B9:G9">SUM(B11:B38)</f>
        <v>11070342745.890001</v>
      </c>
      <c r="C9" s="127">
        <f t="shared" si="0"/>
        <v>5126429333.67</v>
      </c>
      <c r="D9" s="126">
        <f t="shared" si="0"/>
        <v>100128427.36</v>
      </c>
      <c r="E9" s="127">
        <f t="shared" si="0"/>
        <v>5122604803.180001</v>
      </c>
      <c r="F9" s="127">
        <f t="shared" si="0"/>
        <v>701587012.8600001</v>
      </c>
      <c r="G9" s="126">
        <f t="shared" si="0"/>
        <v>19593168.82</v>
      </c>
      <c r="H9" s="126"/>
      <c r="I9" s="128">
        <f>IF(B9&lt;&gt;0,((+C9+D9)/B9),(IF(C9&lt;&gt;0,1,0)))</f>
        <v>0.47212248807476376</v>
      </c>
      <c r="J9" s="128">
        <f>IF($B9&lt;&gt;0,(E9/$B9),(IF(E9&lt;&gt;0,1,0)))</f>
        <v>0.4627322677142792</v>
      </c>
      <c r="K9" s="128">
        <f>IF($B9&lt;&gt;0,(F9/$B9),(IF(F9&lt;&gt;0,1,0)))</f>
        <v>0.06337536505999083</v>
      </c>
      <c r="L9" s="128">
        <f>IF($B9&lt;&gt;0,(G9/$B9),(IF(G9&lt;&gt;0,1,0)))</f>
        <v>0.0017698791509661435</v>
      </c>
      <c r="M9" s="59"/>
      <c r="N9" s="80"/>
      <c r="O9" s="80"/>
      <c r="P9" s="80"/>
      <c r="Q9" s="80"/>
    </row>
    <row r="10" spans="1:14" ht="12.75">
      <c r="A10" s="125"/>
      <c r="B10" s="129"/>
      <c r="C10" s="130"/>
      <c r="D10" s="131"/>
      <c r="E10" s="132"/>
      <c r="F10" s="132"/>
      <c r="G10" s="132"/>
      <c r="H10" s="132"/>
      <c r="I10" s="133"/>
      <c r="J10" s="133"/>
      <c r="K10" s="133"/>
      <c r="L10" s="133"/>
      <c r="M10" s="59"/>
      <c r="N10" s="78"/>
    </row>
    <row r="11" spans="1:17" ht="12.75">
      <c r="A11" s="134" t="s">
        <v>1</v>
      </c>
      <c r="B11" s="135">
        <f aca="true" t="shared" si="1" ref="B11:B38">SUM(C11:G11)</f>
        <v>129430204.86</v>
      </c>
      <c r="C11" s="208">
        <v>28389000</v>
      </c>
      <c r="D11" s="208">
        <v>1026073.59</v>
      </c>
      <c r="E11" s="208">
        <f>state1!C12</f>
        <v>88531182.33</v>
      </c>
      <c r="F11" s="248">
        <f>fed1!B12-'table 6'!I12</f>
        <v>10960204.429999998</v>
      </c>
      <c r="G11" s="208">
        <v>523744.51</v>
      </c>
      <c r="H11" s="135"/>
      <c r="I11" s="137">
        <f>IF(B11&lt;&gt;0,((+C11+D11)/B11*100),(IF(C11&lt;&gt;0,1,0)))</f>
        <v>22.726591232562157</v>
      </c>
      <c r="J11" s="137">
        <f>IF($B11&lt;&gt;0,(E11/$B11*100),(IF(E11&lt;&gt;0,1,0)))</f>
        <v>68.40071251201448</v>
      </c>
      <c r="K11" s="137">
        <f aca="true" t="shared" si="2" ref="K11:L26">IF($B11&lt;&gt;0,(F11/$B11*100),(IF(F11&lt;&gt;0,1,0)))</f>
        <v>8.46804224860438</v>
      </c>
      <c r="L11" s="137">
        <f t="shared" si="2"/>
        <v>0.4046540068189768</v>
      </c>
      <c r="M11" s="82"/>
      <c r="N11" s="81"/>
      <c r="Q11" s="82"/>
    </row>
    <row r="12" spans="1:17" ht="12.75">
      <c r="A12" s="134" t="s">
        <v>2</v>
      </c>
      <c r="B12" s="135">
        <f t="shared" si="1"/>
        <v>875680502.0600001</v>
      </c>
      <c r="C12" s="208">
        <v>514347400</v>
      </c>
      <c r="D12" s="337">
        <v>5267542.79</v>
      </c>
      <c r="E12" s="208">
        <f>state1!C13</f>
        <v>309597227.86</v>
      </c>
      <c r="F12" s="248">
        <f>fed1!B13-'table 6'!I13</f>
        <v>45951599.41</v>
      </c>
      <c r="G12" s="208">
        <v>516732</v>
      </c>
      <c r="H12" s="138"/>
      <c r="I12" s="137">
        <f>IF(B12&lt;&gt;0,((+C12+D12)/B12*100),(IF(C12&lt;&gt;0,1,0)))</f>
        <v>59.338416416447394</v>
      </c>
      <c r="J12" s="137">
        <f>IF($B12&lt;&gt;0,(E12/$B12*100),(IF(E12&lt;&gt;0,1,0)))</f>
        <v>35.35504412073651</v>
      </c>
      <c r="K12" s="137">
        <f t="shared" si="2"/>
        <v>5.247530269533337</v>
      </c>
      <c r="L12" s="137">
        <f t="shared" si="2"/>
        <v>0.05900919328275673</v>
      </c>
      <c r="M12" s="59"/>
      <c r="N12" s="81"/>
      <c r="Q12" s="82"/>
    </row>
    <row r="13" spans="1:17" ht="12.75">
      <c r="A13" s="134" t="s">
        <v>3</v>
      </c>
      <c r="B13" s="135">
        <f t="shared" si="1"/>
        <v>1254268535.1799998</v>
      </c>
      <c r="C13" s="208">
        <f>208122708-7726540.14</f>
        <v>200396167.86</v>
      </c>
      <c r="D13" s="208">
        <v>12278513.050000003</v>
      </c>
      <c r="E13" s="208">
        <f>state1!C14</f>
        <v>878817842.84</v>
      </c>
      <c r="F13" s="248">
        <f>fed1!B14-'table 6'!I14</f>
        <v>162776011.42999995</v>
      </c>
      <c r="G13" s="208">
        <v>0</v>
      </c>
      <c r="H13" s="138"/>
      <c r="I13" s="137">
        <f>IF(B13&lt;&gt;0,((+C13+D13)/B13*100),(IF(C13&lt;&gt;0,1,0)))</f>
        <v>16.95607239955829</v>
      </c>
      <c r="J13" s="137">
        <f>IF($B13&lt;&gt;0,(E13/$B13*100),(IF(E13&lt;&gt;0,1,0)))</f>
        <v>70.06616352006957</v>
      </c>
      <c r="K13" s="137">
        <f t="shared" si="2"/>
        <v>12.97776408037215</v>
      </c>
      <c r="L13" s="137">
        <f t="shared" si="2"/>
        <v>0</v>
      </c>
      <c r="M13" s="59"/>
      <c r="N13" s="81"/>
      <c r="Q13" s="82"/>
    </row>
    <row r="14" spans="1:17" ht="12.75">
      <c r="A14" s="134" t="s">
        <v>4</v>
      </c>
      <c r="B14" s="135">
        <f t="shared" si="1"/>
        <v>1289143009.4099998</v>
      </c>
      <c r="C14" s="208">
        <v>617864727</v>
      </c>
      <c r="D14" s="208">
        <f>5843212.92-1838131</f>
        <v>4005081.92</v>
      </c>
      <c r="E14" s="208">
        <f>state1!C15</f>
        <v>578654265.2</v>
      </c>
      <c r="F14" s="248">
        <f>fed1!B15-'table 6'!I15</f>
        <v>81476794.28999999</v>
      </c>
      <c r="G14" s="208">
        <v>7142141</v>
      </c>
      <c r="H14" s="138"/>
      <c r="I14" s="137">
        <f>IF(B14&lt;&gt;0,((+C14+D14)/B14*100),(IF(C14&lt;&gt;0,1,0)))</f>
        <v>48.23900873531558</v>
      </c>
      <c r="J14" s="137">
        <f>IF($B14&lt;&gt;0,(E14/$B14*100),(IF(E14&lt;&gt;0,1,0)))</f>
        <v>44.886739560790225</v>
      </c>
      <c r="K14" s="137">
        <f t="shared" si="2"/>
        <v>6.320229307009884</v>
      </c>
      <c r="L14" s="137">
        <f t="shared" si="2"/>
        <v>0.554022396884325</v>
      </c>
      <c r="M14" s="59"/>
      <c r="N14" s="81"/>
      <c r="Q14" s="82"/>
    </row>
    <row r="15" spans="1:17" ht="12.75">
      <c r="A15" s="134" t="s">
        <v>5</v>
      </c>
      <c r="B15" s="135">
        <f t="shared" si="1"/>
        <v>201514897.24999997</v>
      </c>
      <c r="C15" s="208">
        <v>95358284</v>
      </c>
      <c r="D15" s="208">
        <v>2870945.36</v>
      </c>
      <c r="E15" s="208">
        <f>state1!C16</f>
        <v>95345860.65999998</v>
      </c>
      <c r="F15" s="248">
        <f>fed1!B16-'table 6'!I16</f>
        <v>7939807.23</v>
      </c>
      <c r="G15" s="208">
        <v>0</v>
      </c>
      <c r="H15" s="138"/>
      <c r="I15" s="137">
        <f>IF(B15&lt;&gt;0,((+C15+D15)/B15*100),(IF(C15&lt;&gt;0,1,0)))</f>
        <v>48.74539336818187</v>
      </c>
      <c r="J15" s="137">
        <f>IF($B15&lt;&gt;0,(E15/$B15*100),(IF(E15&lt;&gt;0,1,0)))</f>
        <v>47.31454694474207</v>
      </c>
      <c r="K15" s="137">
        <f t="shared" si="2"/>
        <v>3.9400596870760642</v>
      </c>
      <c r="L15" s="137">
        <f t="shared" si="2"/>
        <v>0</v>
      </c>
      <c r="M15" s="59"/>
      <c r="N15" s="81"/>
      <c r="Q15" s="82"/>
    </row>
    <row r="16" spans="1:14" ht="12.75">
      <c r="A16" s="134"/>
      <c r="B16" s="135"/>
      <c r="C16" s="208"/>
      <c r="D16" s="208"/>
      <c r="E16" s="249"/>
      <c r="F16" s="248"/>
      <c r="G16" s="208"/>
      <c r="H16" s="138"/>
      <c r="I16" s="137"/>
      <c r="J16" s="137"/>
      <c r="K16" s="137"/>
      <c r="L16" s="137"/>
      <c r="M16" s="59"/>
      <c r="N16" s="81"/>
    </row>
    <row r="17" spans="1:17" ht="12.75">
      <c r="A17" s="134" t="s">
        <v>6</v>
      </c>
      <c r="B17" s="135">
        <f t="shared" si="1"/>
        <v>63652270.61</v>
      </c>
      <c r="C17" s="337">
        <v>12250000</v>
      </c>
      <c r="D17" s="208">
        <v>728935.39</v>
      </c>
      <c r="E17" s="208">
        <f>state1!C18</f>
        <v>45177965.01</v>
      </c>
      <c r="F17" s="248">
        <f>fed1!B18-'table 6'!I18</f>
        <v>5495370.21</v>
      </c>
      <c r="G17" s="208">
        <v>0</v>
      </c>
      <c r="H17" s="138"/>
      <c r="I17" s="137">
        <f>IF(B17&lt;&gt;0,((+C17+D17)/B17*100),(IF(C17&lt;&gt;0,1,0)))</f>
        <v>20.39037298374233</v>
      </c>
      <c r="J17" s="137">
        <f>IF($B17&lt;&gt;0,(E17/$B17*100),(IF(E17&lt;&gt;0,1,0)))</f>
        <v>70.97620332636238</v>
      </c>
      <c r="K17" s="137">
        <f t="shared" si="2"/>
        <v>8.633423689895295</v>
      </c>
      <c r="L17" s="137">
        <f t="shared" si="2"/>
        <v>0</v>
      </c>
      <c r="M17" s="59"/>
      <c r="N17" s="81"/>
      <c r="Q17" s="82"/>
    </row>
    <row r="18" spans="1:17" ht="12.75">
      <c r="A18" s="134" t="s">
        <v>7</v>
      </c>
      <c r="B18" s="135">
        <f t="shared" si="1"/>
        <v>324319523.22</v>
      </c>
      <c r="C18" s="337">
        <v>151107358</v>
      </c>
      <c r="D18" s="208">
        <v>1914933.05</v>
      </c>
      <c r="E18" s="208">
        <f>state1!C19</f>
        <v>157765424.89000002</v>
      </c>
      <c r="F18" s="248">
        <f>fed1!B19-'table 6'!I19</f>
        <v>12268212.39</v>
      </c>
      <c r="G18" s="208">
        <v>1263594.89</v>
      </c>
      <c r="H18" s="138"/>
      <c r="I18" s="137">
        <f>IF(B18&lt;&gt;0,((+C18+D18)/B18*100),(IF(C18&lt;&gt;0,1,0)))</f>
        <v>47.182571536465396</v>
      </c>
      <c r="J18" s="137">
        <f>IF($B18&lt;&gt;0,(E18/$B18*100),(IF(E18&lt;&gt;0,1,0)))</f>
        <v>48.64505945359968</v>
      </c>
      <c r="K18" s="137">
        <f t="shared" si="2"/>
        <v>3.7827548179015844</v>
      </c>
      <c r="L18" s="137">
        <f t="shared" si="2"/>
        <v>0.389614192033345</v>
      </c>
      <c r="M18" s="59"/>
      <c r="N18" s="81"/>
      <c r="Q18" s="82"/>
    </row>
    <row r="19" spans="1:17" ht="12.75">
      <c r="A19" s="134" t="s">
        <v>8</v>
      </c>
      <c r="B19" s="135">
        <f t="shared" si="1"/>
        <v>184355153.11</v>
      </c>
      <c r="C19" s="337">
        <v>64435162</v>
      </c>
      <c r="D19" s="208">
        <v>2423611.28</v>
      </c>
      <c r="E19" s="208">
        <f>state1!C20</f>
        <v>107454703.77999999</v>
      </c>
      <c r="F19" s="248">
        <f>fed1!B20-'table 6'!I20</f>
        <v>10041676.049999999</v>
      </c>
      <c r="G19" s="208">
        <v>0</v>
      </c>
      <c r="H19" s="138"/>
      <c r="I19" s="137">
        <f>IF(B19&lt;&gt;0,((+C19+D19)/B19*100),(IF(C19&lt;&gt;0,1,0)))</f>
        <v>36.26628936165787</v>
      </c>
      <c r="J19" s="137">
        <f>IF($B19&lt;&gt;0,(E19/$B19*100),(IF(E19&lt;&gt;0,1,0)))</f>
        <v>58.28679153648855</v>
      </c>
      <c r="K19" s="137">
        <f t="shared" si="2"/>
        <v>5.4469191018535765</v>
      </c>
      <c r="L19" s="137">
        <f t="shared" si="2"/>
        <v>0</v>
      </c>
      <c r="M19" s="59"/>
      <c r="N19" s="81"/>
      <c r="Q19" s="82"/>
    </row>
    <row r="20" spans="1:17" ht="12.75">
      <c r="A20" s="134" t="s">
        <v>9</v>
      </c>
      <c r="B20" s="135">
        <f t="shared" si="1"/>
        <v>314567446.52000004</v>
      </c>
      <c r="C20" s="337">
        <v>135856000</v>
      </c>
      <c r="D20" s="208">
        <v>3537708.24</v>
      </c>
      <c r="E20" s="208">
        <f>state1!C21</f>
        <v>160574783.24</v>
      </c>
      <c r="F20" s="248">
        <f>fed1!B21-'table 6'!I21</f>
        <v>14598955.040000001</v>
      </c>
      <c r="G20" s="208">
        <v>0</v>
      </c>
      <c r="H20" s="138"/>
      <c r="I20" s="137">
        <f>IF(B20&lt;&gt;0,((+C20+D20)/B20*100),(IF(C20&lt;&gt;0,1,0)))</f>
        <v>44.31282059923433</v>
      </c>
      <c r="J20" s="137">
        <f>IF($B20&lt;&gt;0,(E20/$B20*100),(IF(E20&lt;&gt;0,1,0)))</f>
        <v>51.04621759702358</v>
      </c>
      <c r="K20" s="137">
        <f t="shared" si="2"/>
        <v>4.640961803742082</v>
      </c>
      <c r="L20" s="137">
        <f t="shared" si="2"/>
        <v>0</v>
      </c>
      <c r="M20" s="59"/>
      <c r="N20" s="81"/>
      <c r="Q20" s="82"/>
    </row>
    <row r="21" spans="1:17" ht="12.75">
      <c r="A21" s="134" t="s">
        <v>10</v>
      </c>
      <c r="B21" s="135">
        <f t="shared" si="1"/>
        <v>57395906.12</v>
      </c>
      <c r="C21" s="337">
        <v>16669686</v>
      </c>
      <c r="D21" s="208">
        <v>1062788.29</v>
      </c>
      <c r="E21" s="208">
        <f>state1!C22</f>
        <v>33101612.27</v>
      </c>
      <c r="F21" s="248">
        <f>fed1!B22-'table 6'!I22</f>
        <v>6407630.549999999</v>
      </c>
      <c r="G21" s="208">
        <v>154189.01</v>
      </c>
      <c r="H21" s="138"/>
      <c r="I21" s="137">
        <f>IF(B21&lt;&gt;0,((+C21+D21)/B21*100),(IF(C21&lt;&gt;0,1,0)))</f>
        <v>30.89501584472938</v>
      </c>
      <c r="J21" s="137">
        <f>IF($B21&lt;&gt;0,(E21/$B21*100),(IF(E21&lt;&gt;0,1,0)))</f>
        <v>57.672427369284996</v>
      </c>
      <c r="K21" s="137">
        <f t="shared" si="2"/>
        <v>11.163915657335039</v>
      </c>
      <c r="L21" s="137">
        <f t="shared" si="2"/>
        <v>0.2686411286505882</v>
      </c>
      <c r="M21" s="59"/>
      <c r="N21" s="81"/>
      <c r="Q21" s="82"/>
    </row>
    <row r="22" spans="1:14" ht="12.75">
      <c r="A22" s="134"/>
      <c r="B22" s="135"/>
      <c r="C22" s="208"/>
      <c r="D22" s="208"/>
      <c r="E22" s="249"/>
      <c r="F22" s="248"/>
      <c r="G22" s="208"/>
      <c r="H22" s="138"/>
      <c r="I22" s="137"/>
      <c r="J22" s="137"/>
      <c r="K22" s="137"/>
      <c r="L22" s="137"/>
      <c r="M22" s="59"/>
      <c r="N22" s="81"/>
    </row>
    <row r="23" spans="1:17" ht="12.75">
      <c r="A23" s="134" t="s">
        <v>11</v>
      </c>
      <c r="B23" s="135">
        <f t="shared" si="1"/>
        <v>471799161.79999995</v>
      </c>
      <c r="C23" s="208">
        <v>228388007.23</v>
      </c>
      <c r="D23" s="208">
        <v>4357386.75</v>
      </c>
      <c r="E23" s="208">
        <f>state1!C24</f>
        <v>221501430.67</v>
      </c>
      <c r="F23" s="248">
        <f>fed1!B24-'table 6'!I24</f>
        <v>17552337.15</v>
      </c>
      <c r="G23" s="208">
        <v>0</v>
      </c>
      <c r="H23" s="138"/>
      <c r="I23" s="137">
        <f>IF(B23&lt;&gt;0,((+C23+D23)/B23*100),(IF(C23&lt;&gt;0,1,0)))</f>
        <v>49.33145559055973</v>
      </c>
      <c r="J23" s="137">
        <f aca="true" t="shared" si="3" ref="J23:L27">IF($B23&lt;&gt;0,(E23/$B23*100),(IF(E23&lt;&gt;0,1,0)))</f>
        <v>46.94824590720585</v>
      </c>
      <c r="K23" s="137">
        <f t="shared" si="2"/>
        <v>3.7202985022344306</v>
      </c>
      <c r="L23" s="137">
        <f t="shared" si="2"/>
        <v>0</v>
      </c>
      <c r="M23" s="59"/>
      <c r="N23" s="81"/>
      <c r="Q23" s="82"/>
    </row>
    <row r="24" spans="1:17" ht="12.75">
      <c r="A24" s="134" t="s">
        <v>12</v>
      </c>
      <c r="B24" s="135">
        <f t="shared" si="1"/>
        <v>55646112.49999999</v>
      </c>
      <c r="C24" s="208">
        <v>21900167.98</v>
      </c>
      <c r="D24" s="208">
        <v>380351.97</v>
      </c>
      <c r="E24" s="208">
        <f>state1!C25</f>
        <v>28356872.32</v>
      </c>
      <c r="F24" s="248">
        <f>fed1!B25-'table 6'!I25</f>
        <v>5003588.5</v>
      </c>
      <c r="G24" s="208">
        <v>5131.73</v>
      </c>
      <c r="H24" s="138"/>
      <c r="I24" s="137">
        <f>IF(B24&lt;&gt;0,((+C24+D24)/B24*100),(IF(C24&lt;&gt;0,1,0)))</f>
        <v>40.03967024650644</v>
      </c>
      <c r="J24" s="137">
        <f t="shared" si="3"/>
        <v>50.959305234485164</v>
      </c>
      <c r="K24" s="137">
        <f t="shared" si="2"/>
        <v>8.991802437232252</v>
      </c>
      <c r="L24" s="137">
        <f t="shared" si="2"/>
        <v>0.009222081776152828</v>
      </c>
      <c r="M24" s="59"/>
      <c r="N24" s="81"/>
      <c r="Q24" s="82"/>
    </row>
    <row r="25" spans="1:17" ht="12.75">
      <c r="A25" s="134" t="s">
        <v>13</v>
      </c>
      <c r="B25" s="135">
        <f t="shared" si="1"/>
        <v>458700996.14</v>
      </c>
      <c r="C25" s="208">
        <v>199614800</v>
      </c>
      <c r="D25" s="208">
        <v>3244477.42</v>
      </c>
      <c r="E25" s="208">
        <f>state1!C26</f>
        <v>231877008.2</v>
      </c>
      <c r="F25" s="248">
        <f>fed1!B26-'table 6'!I26</f>
        <v>21136237.69</v>
      </c>
      <c r="G25" s="208">
        <v>2828472.83</v>
      </c>
      <c r="H25" s="138"/>
      <c r="I25" s="137">
        <f>IF(B25&lt;&gt;0,((+C25+D25)/B25*100),(IF(C25&lt;&gt;0,1,0)))</f>
        <v>44.22473008061342</v>
      </c>
      <c r="J25" s="137">
        <f t="shared" si="3"/>
        <v>50.55079673932708</v>
      </c>
      <c r="K25" s="137">
        <f t="shared" si="2"/>
        <v>4.607846476869001</v>
      </c>
      <c r="L25" s="137">
        <f t="shared" si="2"/>
        <v>0.616626703190486</v>
      </c>
      <c r="M25" s="59"/>
      <c r="N25" s="81"/>
      <c r="Q25" s="82"/>
    </row>
    <row r="26" spans="1:17" ht="12.75">
      <c r="A26" s="134" t="s">
        <v>14</v>
      </c>
      <c r="B26" s="135">
        <f t="shared" si="1"/>
        <v>675590061.91</v>
      </c>
      <c r="C26" s="208">
        <v>427176316</v>
      </c>
      <c r="D26" s="208">
        <v>7326164</v>
      </c>
      <c r="E26" s="208">
        <f>state1!C27</f>
        <v>221073571.74</v>
      </c>
      <c r="F26" s="248">
        <f>fed1!B27-'table 6'!I27</f>
        <v>20014010.17</v>
      </c>
      <c r="G26" s="208">
        <v>0</v>
      </c>
      <c r="H26" s="138"/>
      <c r="I26" s="137">
        <f>IF(B26&lt;&gt;0,((+C26+D26)/B26*100),(IF(C26&lt;&gt;0,1,0)))</f>
        <v>64.31451622772435</v>
      </c>
      <c r="J26" s="137">
        <f t="shared" si="3"/>
        <v>32.72303490003836</v>
      </c>
      <c r="K26" s="137">
        <f t="shared" si="2"/>
        <v>2.9624488722372897</v>
      </c>
      <c r="L26" s="137">
        <f t="shared" si="2"/>
        <v>0</v>
      </c>
      <c r="M26" s="59"/>
      <c r="N26" s="81"/>
      <c r="Q26" s="82"/>
    </row>
    <row r="27" spans="1:17" ht="12.75">
      <c r="A27" s="134" t="s">
        <v>15</v>
      </c>
      <c r="B27" s="135">
        <f t="shared" si="1"/>
        <v>31196740.009999998</v>
      </c>
      <c r="C27" s="208">
        <v>16217000</v>
      </c>
      <c r="D27" s="208">
        <v>254489</v>
      </c>
      <c r="E27" s="208">
        <f>state1!C28</f>
        <v>11878541.84</v>
      </c>
      <c r="F27" s="248">
        <f>fed1!B28-'table 6'!I28</f>
        <v>2846709.17</v>
      </c>
      <c r="G27" s="208">
        <v>0</v>
      </c>
      <c r="H27" s="138"/>
      <c r="I27" s="137">
        <f>IF(B27&lt;&gt;0,((+C27+D27)/B27*100),(IF(C27&lt;&gt;0,1,0)))</f>
        <v>52.79875074998262</v>
      </c>
      <c r="J27" s="137">
        <f t="shared" si="3"/>
        <v>38.076227952639854</v>
      </c>
      <c r="K27" s="137">
        <f t="shared" si="3"/>
        <v>9.12502129737754</v>
      </c>
      <c r="L27" s="137">
        <f t="shared" si="3"/>
        <v>0</v>
      </c>
      <c r="M27" s="59"/>
      <c r="N27" s="81"/>
      <c r="Q27" s="82"/>
    </row>
    <row r="28" spans="1:14" ht="12.75">
      <c r="A28" s="134"/>
      <c r="B28" s="135"/>
      <c r="C28" s="208"/>
      <c r="D28" s="208"/>
      <c r="E28" s="249"/>
      <c r="F28" s="248"/>
      <c r="G28" s="208"/>
      <c r="H28" s="138"/>
      <c r="I28" s="137"/>
      <c r="J28" s="137"/>
      <c r="K28" s="137"/>
      <c r="L28" s="137"/>
      <c r="M28" s="59"/>
      <c r="N28" s="81"/>
    </row>
    <row r="29" spans="1:17" ht="12.75">
      <c r="A29" s="134" t="s">
        <v>16</v>
      </c>
      <c r="B29" s="135">
        <f t="shared" si="1"/>
        <v>2070835415.95</v>
      </c>
      <c r="C29" s="208">
        <v>1449834862</v>
      </c>
      <c r="D29" s="208">
        <v>14997955.52</v>
      </c>
      <c r="E29" s="208">
        <f>state1!C30</f>
        <v>511954652.67</v>
      </c>
      <c r="F29" s="248">
        <f>fed1!B30-'table 6'!I30</f>
        <v>93751898.21000001</v>
      </c>
      <c r="G29" s="208">
        <v>296047.55</v>
      </c>
      <c r="H29" s="138"/>
      <c r="I29" s="137">
        <f>IF(B29&lt;&gt;0,((+C29+D29)/B29*100),(IF(C29&lt;&gt;0,1,0)))</f>
        <v>70.73632246375335</v>
      </c>
      <c r="J29" s="137">
        <f aca="true" t="shared" si="4" ref="J29:L33">IF($B29&lt;&gt;0,(E29/$B29*100),(IF(E29&lt;&gt;0,1,0)))</f>
        <v>24.722131402950716</v>
      </c>
      <c r="K29" s="137">
        <f t="shared" si="4"/>
        <v>4.527250088920811</v>
      </c>
      <c r="L29" s="137">
        <f t="shared" si="4"/>
        <v>0.014296044375124209</v>
      </c>
      <c r="M29" s="59"/>
      <c r="N29" s="81"/>
      <c r="Q29" s="82"/>
    </row>
    <row r="30" spans="1:17" ht="12.75">
      <c r="A30" s="134" t="s">
        <v>17</v>
      </c>
      <c r="B30" s="135">
        <f t="shared" si="1"/>
        <v>1714542601.28</v>
      </c>
      <c r="C30" s="208">
        <v>584463226.18</v>
      </c>
      <c r="D30" s="208">
        <v>26924366.250000004</v>
      </c>
      <c r="E30" s="208">
        <f>state1!C31</f>
        <v>985383658.87</v>
      </c>
      <c r="F30" s="248">
        <f>fed1!B31-'table 6'!I31</f>
        <v>117771349.97999997</v>
      </c>
      <c r="G30" s="208">
        <v>0</v>
      </c>
      <c r="H30" s="138"/>
      <c r="I30" s="137">
        <f>IF(B30&lt;&gt;0,((+C30+D30)/B30*100),(IF(C30&lt;&gt;0,1,0)))</f>
        <v>35.65893270739179</v>
      </c>
      <c r="J30" s="137">
        <f t="shared" si="4"/>
        <v>57.47210119680649</v>
      </c>
      <c r="K30" s="137">
        <f t="shared" si="4"/>
        <v>6.868966095801715</v>
      </c>
      <c r="L30" s="137">
        <f t="shared" si="4"/>
        <v>0</v>
      </c>
      <c r="M30" s="59"/>
      <c r="N30" s="81"/>
      <c r="Q30" s="82"/>
    </row>
    <row r="31" spans="1:17" ht="12.75">
      <c r="A31" s="134" t="s">
        <v>18</v>
      </c>
      <c r="B31" s="135">
        <f t="shared" si="1"/>
        <v>83778187.08</v>
      </c>
      <c r="C31" s="208">
        <v>43940413</v>
      </c>
      <c r="D31" s="337">
        <v>568951.39</v>
      </c>
      <c r="E31" s="208">
        <f>state1!C32</f>
        <v>34513279.22</v>
      </c>
      <c r="F31" s="248">
        <f>fed1!B32-'table 6'!I32</f>
        <v>4755543.47</v>
      </c>
      <c r="G31" s="208">
        <v>0</v>
      </c>
      <c r="H31" s="138"/>
      <c r="I31" s="137">
        <f>IF(B31&lt;&gt;0,((+C31+D31)/B31*100),(IF(C31&lt;&gt;0,1,0)))</f>
        <v>53.127628970411955</v>
      </c>
      <c r="J31" s="137">
        <f t="shared" si="4"/>
        <v>41.19602061458215</v>
      </c>
      <c r="K31" s="137">
        <f t="shared" si="4"/>
        <v>5.676350415005901</v>
      </c>
      <c r="L31" s="137">
        <f t="shared" si="4"/>
        <v>0</v>
      </c>
      <c r="M31" s="59"/>
      <c r="N31" s="81"/>
      <c r="Q31" s="82"/>
    </row>
    <row r="32" spans="1:17" ht="12.75">
      <c r="A32" s="134" t="s">
        <v>19</v>
      </c>
      <c r="B32" s="135">
        <f t="shared" si="1"/>
        <v>194864111.82999998</v>
      </c>
      <c r="C32" s="208">
        <v>76000000</v>
      </c>
      <c r="D32" s="337">
        <v>1796999.08</v>
      </c>
      <c r="E32" s="208">
        <f>state1!C33</f>
        <v>99177356.46999998</v>
      </c>
      <c r="F32" s="248">
        <f>fed1!B33-'table 6'!I33</f>
        <v>12760059.479999999</v>
      </c>
      <c r="G32" s="208">
        <v>5129696.8</v>
      </c>
      <c r="H32" s="138"/>
      <c r="I32" s="137">
        <f>IF(B32&lt;&gt;0,((+C32+D32)/B32*100),(IF(C32&lt;&gt;0,1,0)))</f>
        <v>39.923718302665364</v>
      </c>
      <c r="J32" s="137">
        <f t="shared" si="4"/>
        <v>50.895650070507905</v>
      </c>
      <c r="K32" s="137">
        <f t="shared" si="4"/>
        <v>6.548183429041009</v>
      </c>
      <c r="L32" s="137">
        <f t="shared" si="4"/>
        <v>2.632448197785728</v>
      </c>
      <c r="M32" s="59"/>
      <c r="N32" s="81"/>
      <c r="Q32" s="82"/>
    </row>
    <row r="33" spans="1:17" ht="12.75">
      <c r="A33" s="134" t="s">
        <v>20</v>
      </c>
      <c r="B33" s="135">
        <f t="shared" si="1"/>
        <v>40832816.230000004</v>
      </c>
      <c r="C33" s="208">
        <v>8792192.34</v>
      </c>
      <c r="D33" s="208">
        <v>422851.28</v>
      </c>
      <c r="E33" s="208">
        <f>state1!C34</f>
        <v>25696557.270000003</v>
      </c>
      <c r="F33" s="248">
        <f>fed1!B34-'table 6'!I34</f>
        <v>5921215.34</v>
      </c>
      <c r="G33" s="208">
        <v>0</v>
      </c>
      <c r="H33" s="138"/>
      <c r="I33" s="137">
        <f>IF(B33&lt;&gt;0,((+C33+D33)/B33*100),(IF(C33&lt;&gt;0,1,0)))</f>
        <v>22.56773955559224</v>
      </c>
      <c r="J33" s="137">
        <f t="shared" si="4"/>
        <v>62.93114127925533</v>
      </c>
      <c r="K33" s="137">
        <f t="shared" si="4"/>
        <v>14.501119165152424</v>
      </c>
      <c r="L33" s="137">
        <f t="shared" si="4"/>
        <v>0</v>
      </c>
      <c r="M33" s="59"/>
      <c r="N33" s="81"/>
      <c r="Q33" s="82"/>
    </row>
    <row r="34" spans="1:14" ht="12.75">
      <c r="A34" s="134"/>
      <c r="B34" s="135"/>
      <c r="C34" s="110"/>
      <c r="D34" s="208"/>
      <c r="E34" s="208"/>
      <c r="F34" s="248"/>
      <c r="G34" s="208"/>
      <c r="H34" s="138"/>
      <c r="I34" s="137"/>
      <c r="J34" s="137"/>
      <c r="K34" s="137"/>
      <c r="L34" s="137"/>
      <c r="M34" s="59"/>
      <c r="N34" s="81"/>
    </row>
    <row r="35" spans="1:17" ht="12.75">
      <c r="A35" s="134" t="s">
        <v>21</v>
      </c>
      <c r="B35" s="135">
        <f t="shared" si="1"/>
        <v>48421225.11</v>
      </c>
      <c r="C35" s="208">
        <v>31728712</v>
      </c>
      <c r="D35" s="208">
        <v>467148.48</v>
      </c>
      <c r="E35" s="208">
        <f>state1!C36</f>
        <v>12915481.42</v>
      </c>
      <c r="F35" s="248">
        <f>fed1!B36-'table 6'!I36</f>
        <v>3251592.21</v>
      </c>
      <c r="G35" s="208">
        <v>58291</v>
      </c>
      <c r="H35" s="138"/>
      <c r="I35" s="137">
        <f>IF(B35&lt;&gt;0,((+C35+D35)/B35*100),(IF(C35&lt;&gt;0,1,0)))</f>
        <v>66.49121414598591</v>
      </c>
      <c r="J35" s="137">
        <f aca="true" t="shared" si="5" ref="J35:L38">IF($B35&lt;&gt;0,(E35/$B35*100),(IF(E35&lt;&gt;0,1,0)))</f>
        <v>26.67318183432885</v>
      </c>
      <c r="K35" s="137">
        <f t="shared" si="5"/>
        <v>6.715220861540072</v>
      </c>
      <c r="L35" s="137">
        <f t="shared" si="5"/>
        <v>0.12038315814516987</v>
      </c>
      <c r="M35" s="59"/>
      <c r="N35" s="81"/>
      <c r="Q35" s="82"/>
    </row>
    <row r="36" spans="1:17" ht="12.75">
      <c r="A36" s="134" t="s">
        <v>22</v>
      </c>
      <c r="B36" s="135">
        <f t="shared" si="1"/>
        <v>251748552.95000002</v>
      </c>
      <c r="C36" s="208">
        <v>85552839.08</v>
      </c>
      <c r="D36" s="208">
        <v>1244277.47</v>
      </c>
      <c r="E36" s="208">
        <f>state1!C37</f>
        <v>147334065.74</v>
      </c>
      <c r="F36" s="248">
        <f>fed1!B37-'table 6'!I37</f>
        <v>16869905.66</v>
      </c>
      <c r="G36" s="208">
        <v>747465</v>
      </c>
      <c r="H36" s="138"/>
      <c r="I36" s="137">
        <f>IF(B36&lt;&gt;0,((+C36+D36)/B36*100),(IF(C36&lt;&gt;0,1,0)))</f>
        <v>34.47770226796054</v>
      </c>
      <c r="J36" s="137">
        <f t="shared" si="5"/>
        <v>58.52429498145403</v>
      </c>
      <c r="K36" s="137">
        <f t="shared" si="5"/>
        <v>6.701093397486398</v>
      </c>
      <c r="L36" s="137">
        <f t="shared" si="5"/>
        <v>0.29690935309902444</v>
      </c>
      <c r="M36" s="59"/>
      <c r="N36" s="81"/>
      <c r="Q36" s="82"/>
    </row>
    <row r="37" spans="1:17" ht="12.75">
      <c r="A37" s="134" t="s">
        <v>23</v>
      </c>
      <c r="B37" s="135">
        <f t="shared" si="1"/>
        <v>180361216.36</v>
      </c>
      <c r="C37" s="208">
        <v>49443053</v>
      </c>
      <c r="D37" s="208">
        <v>2181340.88</v>
      </c>
      <c r="E37" s="208">
        <f>state1!C38</f>
        <v>113685915.13000001</v>
      </c>
      <c r="F37" s="248">
        <f>fed1!B38-'table 6'!I38</f>
        <v>14123244.850000001</v>
      </c>
      <c r="G37" s="208">
        <v>927662.5</v>
      </c>
      <c r="H37" s="138"/>
      <c r="I37" s="137">
        <f>IF(B37&lt;&gt;0,((+C37+D37)/B37*100),(IF(C37&lt;&gt;0,1,0)))</f>
        <v>28.62277984251226</v>
      </c>
      <c r="J37" s="137">
        <f t="shared" si="5"/>
        <v>63.03235109209041</v>
      </c>
      <c r="K37" s="137">
        <f t="shared" si="5"/>
        <v>7.830533157311425</v>
      </c>
      <c r="L37" s="137">
        <f t="shared" si="5"/>
        <v>0.5143359080859106</v>
      </c>
      <c r="M37" s="59"/>
      <c r="N37" s="81"/>
      <c r="Q37" s="82"/>
    </row>
    <row r="38" spans="1:17" ht="12.75">
      <c r="A38" s="140" t="s">
        <v>24</v>
      </c>
      <c r="B38" s="141">
        <f t="shared" si="1"/>
        <v>97698098.4</v>
      </c>
      <c r="C38" s="210">
        <v>66703960</v>
      </c>
      <c r="D38" s="210">
        <v>845534.91</v>
      </c>
      <c r="E38" s="210">
        <f>state1!C39</f>
        <v>22235543.540000003</v>
      </c>
      <c r="F38" s="210">
        <f>fed1!B39-'table 6'!I39</f>
        <v>7913059.949999999</v>
      </c>
      <c r="G38" s="210">
        <v>0</v>
      </c>
      <c r="H38" s="141"/>
      <c r="I38" s="143">
        <f>IF(B38&lt;&gt;0,((+C38+D38)/B38*100),(IF(C38&lt;&gt;0,1,0)))</f>
        <v>69.14105393682871</v>
      </c>
      <c r="J38" s="143">
        <f t="shared" si="5"/>
        <v>22.759443534880514</v>
      </c>
      <c r="K38" s="143">
        <f t="shared" si="5"/>
        <v>8.099502528290763</v>
      </c>
      <c r="L38" s="143">
        <f t="shared" si="5"/>
        <v>0</v>
      </c>
      <c r="M38" s="59"/>
      <c r="N38" s="81"/>
      <c r="Q38" s="82"/>
    </row>
    <row r="39" spans="1:17" ht="12.75">
      <c r="A39" s="125"/>
      <c r="B39" s="135"/>
      <c r="C39" s="208"/>
      <c r="D39" s="208"/>
      <c r="E39" s="136"/>
      <c r="F39" s="136"/>
      <c r="G39" s="208"/>
      <c r="H39" s="135"/>
      <c r="I39" s="137"/>
      <c r="J39" s="137"/>
      <c r="K39" s="137"/>
      <c r="L39" s="137"/>
      <c r="M39" s="59"/>
      <c r="N39" s="81"/>
      <c r="Q39" s="82"/>
    </row>
    <row r="40" spans="1:12" ht="12.75">
      <c r="A40" s="203" t="s">
        <v>293</v>
      </c>
      <c r="C40" s="134"/>
      <c r="D40" s="138"/>
      <c r="E40" s="134"/>
      <c r="F40" s="134"/>
      <c r="G40" s="134"/>
      <c r="H40" s="134"/>
      <c r="I40" s="211"/>
      <c r="J40" s="211"/>
      <c r="K40" s="211"/>
      <c r="L40" s="134"/>
    </row>
    <row r="41" spans="1:256" ht="12.75">
      <c r="A41" s="57" t="s">
        <v>264</v>
      </c>
      <c r="B41" s="5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12" ht="12.75">
      <c r="A42" s="56" t="s">
        <v>235</v>
      </c>
      <c r="C42" s="134"/>
      <c r="D42" s="138"/>
      <c r="E42" s="134"/>
      <c r="F42" s="134"/>
      <c r="G42" s="134"/>
      <c r="H42" s="134"/>
      <c r="I42" s="134"/>
      <c r="J42" s="134"/>
      <c r="K42" s="134"/>
      <c r="L42" s="134"/>
    </row>
    <row r="43" spans="1:12" ht="12.75">
      <c r="A43" s="145"/>
      <c r="C43" s="134"/>
      <c r="D43" s="138"/>
      <c r="E43" s="134"/>
      <c r="F43" s="134"/>
      <c r="G43" s="134"/>
      <c r="H43" s="134"/>
      <c r="I43" s="134"/>
      <c r="J43" s="134"/>
      <c r="K43" s="134"/>
      <c r="L43" s="134"/>
    </row>
    <row r="44" spans="1:12" ht="12.75">
      <c r="A44" s="145"/>
      <c r="C44" s="69"/>
      <c r="D44" s="138"/>
      <c r="E44" s="134"/>
      <c r="F44" s="134"/>
      <c r="G44" s="134"/>
      <c r="H44" s="134"/>
      <c r="I44" s="134"/>
      <c r="J44" s="134"/>
      <c r="K44" s="134"/>
      <c r="L44" s="134"/>
    </row>
    <row r="45" spans="3:12" ht="12.75">
      <c r="C45" s="330"/>
      <c r="D45" s="138"/>
      <c r="E45" s="134"/>
      <c r="F45" s="134"/>
      <c r="G45" s="134"/>
      <c r="H45" s="134"/>
      <c r="I45" s="134"/>
      <c r="J45" s="134"/>
      <c r="K45" s="134"/>
      <c r="L45" s="134"/>
    </row>
    <row r="46" spans="3:12" ht="12.75">
      <c r="C46" s="134"/>
      <c r="D46" s="138"/>
      <c r="E46" s="134"/>
      <c r="F46" s="134"/>
      <c r="G46" s="134"/>
      <c r="H46" s="134"/>
      <c r="I46" s="134"/>
      <c r="J46" s="134"/>
      <c r="K46" s="134"/>
      <c r="L46" s="134"/>
    </row>
    <row r="47" spans="3:12" ht="12.75">
      <c r="C47" s="134"/>
      <c r="D47" s="138"/>
      <c r="E47" s="134"/>
      <c r="F47" s="134"/>
      <c r="G47" s="134"/>
      <c r="H47" s="134"/>
      <c r="I47" s="134"/>
      <c r="J47" s="134"/>
      <c r="K47" s="134"/>
      <c r="L47" s="134"/>
    </row>
  </sheetData>
  <sheetProtection password="CAF5" sheet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6" r:id="rId1"/>
  <headerFooter alignWithMargins="0">
    <oddFooter>&amp;L&amp;"Arial,Italic"&amp;9MSDE-DBS  10 / 2009&amp;C- 2 -&amp;R&amp;"Arial,Italic"&amp;9Selected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Layout" workbookViewId="0" topLeftCell="A1">
      <selection activeCell="A3" sqref="A3:J3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6.140625" style="0" customWidth="1"/>
    <col min="4" max="4" width="14.57421875" style="0" customWidth="1"/>
    <col min="5" max="5" width="15.28125" style="0" customWidth="1"/>
    <col min="6" max="6" width="2.7109375" style="0" customWidth="1"/>
    <col min="7" max="7" width="13.00390625" style="0" customWidth="1"/>
    <col min="8" max="8" width="11.7109375" style="0" customWidth="1"/>
    <col min="9" max="9" width="12.7109375" style="0" customWidth="1"/>
    <col min="10" max="10" width="13.140625" style="0" customWidth="1"/>
  </cols>
  <sheetData>
    <row r="1" spans="1:10" ht="12.75">
      <c r="A1" s="380" t="s">
        <v>112</v>
      </c>
      <c r="B1" s="380"/>
      <c r="C1" s="380"/>
      <c r="D1" s="380"/>
      <c r="E1" s="380"/>
      <c r="F1" s="380"/>
      <c r="G1" s="380"/>
      <c r="H1" s="380"/>
      <c r="I1" s="380"/>
      <c r="J1" s="380"/>
    </row>
    <row r="3" spans="1:10" ht="12.75">
      <c r="A3" s="380" t="s">
        <v>287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2.75">
      <c r="A4" s="380" t="s">
        <v>285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467" t="s">
        <v>198</v>
      </c>
      <c r="C6" s="467"/>
      <c r="D6" s="467"/>
      <c r="E6" s="467"/>
      <c r="F6" s="324"/>
      <c r="G6" s="421" t="s">
        <v>199</v>
      </c>
      <c r="H6" s="421"/>
      <c r="I6" s="421"/>
      <c r="J6" s="421"/>
    </row>
    <row r="7" spans="1:10" ht="12.75">
      <c r="A7" s="3" t="s">
        <v>83</v>
      </c>
      <c r="B7" s="4"/>
      <c r="C7" s="103" t="s">
        <v>115</v>
      </c>
      <c r="D7" s="4" t="s">
        <v>36</v>
      </c>
      <c r="E7" s="4"/>
      <c r="F7" s="4"/>
      <c r="G7" s="4"/>
      <c r="H7" s="4"/>
      <c r="I7" s="4" t="s">
        <v>36</v>
      </c>
      <c r="J7" s="4"/>
    </row>
    <row r="8" spans="1:10" ht="12.75">
      <c r="A8" s="3" t="s">
        <v>35</v>
      </c>
      <c r="B8" s="4" t="s">
        <v>114</v>
      </c>
      <c r="C8" s="102" t="s">
        <v>61</v>
      </c>
      <c r="D8" s="4" t="s">
        <v>41</v>
      </c>
      <c r="E8" s="4" t="s">
        <v>43</v>
      </c>
      <c r="F8" s="4"/>
      <c r="G8" s="4" t="s">
        <v>114</v>
      </c>
      <c r="H8" s="4" t="s">
        <v>115</v>
      </c>
      <c r="I8" s="4" t="s">
        <v>41</v>
      </c>
      <c r="J8" s="4" t="s">
        <v>43</v>
      </c>
    </row>
    <row r="9" spans="1:10" ht="13.5" thickBot="1">
      <c r="A9" s="7" t="s">
        <v>141</v>
      </c>
      <c r="B9" s="8" t="s">
        <v>47</v>
      </c>
      <c r="C9" s="318"/>
      <c r="D9" s="8" t="s">
        <v>42</v>
      </c>
      <c r="E9" s="8" t="s">
        <v>40</v>
      </c>
      <c r="F9" s="8"/>
      <c r="G9" s="8" t="s">
        <v>47</v>
      </c>
      <c r="H9" s="8" t="s">
        <v>124</v>
      </c>
      <c r="I9" s="8" t="s">
        <v>42</v>
      </c>
      <c r="J9" s="8" t="s">
        <v>40</v>
      </c>
    </row>
    <row r="10" spans="1:10" ht="12.75">
      <c r="A10" s="3" t="s">
        <v>0</v>
      </c>
      <c r="B10" s="10">
        <f>SUM(B12:B39)</f>
        <v>6423046339.84</v>
      </c>
      <c r="C10" s="10">
        <f>SUM(C12:C39)</f>
        <v>5126429333.67</v>
      </c>
      <c r="D10" s="10">
        <f>SUM(D12:D39)</f>
        <v>920535871.0800002</v>
      </c>
      <c r="E10" s="10">
        <f>SUM(E12:E39)</f>
        <v>376081135.09000003</v>
      </c>
      <c r="F10" s="10"/>
      <c r="G10" s="37">
        <f>+B10/(table11!$B9*1000)</f>
        <v>0.010049860623911876</v>
      </c>
      <c r="H10" s="37">
        <f>+C10/(table11!$B9*1000)</f>
        <v>0.008021100514588582</v>
      </c>
      <c r="I10" s="37">
        <f>+D10/(table11!$B9*1000)</f>
        <v>0.0014403223508264091</v>
      </c>
      <c r="J10" s="37">
        <f>+E10/(table11!$B9*1000)</f>
        <v>0.0005884377584968854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30674572.58</v>
      </c>
      <c r="C12" s="43">
        <f>'table 2a'!C11</f>
        <v>28389000</v>
      </c>
      <c r="D12" s="2">
        <f>+table4!$C11</f>
        <v>390279.58</v>
      </c>
      <c r="E12" s="2">
        <f>+table5!$C11</f>
        <v>1895293</v>
      </c>
      <c r="F12" s="2"/>
      <c r="G12" s="36">
        <f>+B12/(table11!$B11*1000)*100</f>
        <v>0.9910070736437552</v>
      </c>
      <c r="H12" s="36">
        <f>+C12/(table11!$B11*1000)*100</f>
        <v>0.9171668077949325</v>
      </c>
      <c r="I12" s="36">
        <f>+D12/(table11!$B11*1000)*100</f>
        <v>0.012608808923743244</v>
      </c>
      <c r="J12" s="36">
        <f>+E12/(table11!$B11*1000)*100</f>
        <v>0.06123145692507947</v>
      </c>
    </row>
    <row r="13" spans="1:10" ht="12.75">
      <c r="A13" s="3" t="s">
        <v>2</v>
      </c>
      <c r="B13" s="1">
        <f t="shared" si="0"/>
        <v>600558158</v>
      </c>
      <c r="C13" s="43">
        <f>'table 2a'!C12</f>
        <v>514347400</v>
      </c>
      <c r="D13" s="2">
        <f>+table4!$C12</f>
        <v>53858174</v>
      </c>
      <c r="E13" s="2">
        <f>+table5!$C12</f>
        <v>32352584</v>
      </c>
      <c r="F13" s="2"/>
      <c r="G13" s="36">
        <f>+B13/(table11!$B12*1000)*100</f>
        <v>0.8365777352014955</v>
      </c>
      <c r="H13" s="36">
        <f>+C13/(table11!$B12*1000)*100</f>
        <v>0.7164861175672809</v>
      </c>
      <c r="I13" s="36">
        <f>+D13/(table11!$B12*1000)*100</f>
        <v>0.07502445621096378</v>
      </c>
      <c r="J13" s="36">
        <f>+E13/(table11!$B12*1000)*100</f>
        <v>0.04506716142325077</v>
      </c>
    </row>
    <row r="14" spans="1:10" ht="12.75">
      <c r="A14" s="3" t="s">
        <v>3</v>
      </c>
      <c r="B14" s="1">
        <f t="shared" si="0"/>
        <v>267084390.41</v>
      </c>
      <c r="C14" s="43">
        <f>'table 2a'!C13</f>
        <v>200396167.86</v>
      </c>
      <c r="D14" s="2">
        <f>+table4!$C13</f>
        <v>58961682.41</v>
      </c>
      <c r="E14" s="2">
        <f>+table5!$C13</f>
        <v>7726540.14</v>
      </c>
      <c r="F14" s="2"/>
      <c r="G14" s="36">
        <f>+B14/(table11!$B13*1000)*100</f>
        <v>0.919955857483586</v>
      </c>
      <c r="H14" s="36">
        <f>+C14/(table11!$B13*1000)*100</f>
        <v>0.6902523511653657</v>
      </c>
      <c r="I14" s="36">
        <f>+D14/(table11!$B13*1000)*100</f>
        <v>0.20308991108353264</v>
      </c>
      <c r="J14" s="36">
        <f>+E14/(table11!$B13*1000)*100</f>
        <v>0.0266135952346877</v>
      </c>
    </row>
    <row r="15" spans="1:10" ht="12.75">
      <c r="A15" s="3" t="s">
        <v>4</v>
      </c>
      <c r="B15" s="1">
        <f t="shared" si="0"/>
        <v>743991035</v>
      </c>
      <c r="C15" s="43">
        <f>'table 2a'!C14</f>
        <v>617864727</v>
      </c>
      <c r="D15" s="2">
        <f>+table4!$C14</f>
        <v>99968620</v>
      </c>
      <c r="E15" s="2">
        <f>+table5!$C14</f>
        <v>26157688</v>
      </c>
      <c r="F15" s="2"/>
      <c r="G15" s="36">
        <f>+B15/(table11!$B14*1000)*100</f>
        <v>1.0314659623222016</v>
      </c>
      <c r="H15" s="36">
        <f>+C15/(table11!$B14*1000)*100</f>
        <v>0.8566049928545167</v>
      </c>
      <c r="I15" s="36">
        <f>+D15/(table11!$B14*1000)*100</f>
        <v>0.13859606363445293</v>
      </c>
      <c r="J15" s="36">
        <f>+E15/(table11!$B14*1000)*100</f>
        <v>0.03626490583323213</v>
      </c>
    </row>
    <row r="16" spans="1:10" ht="12.75">
      <c r="A16" s="3" t="s">
        <v>5</v>
      </c>
      <c r="B16" s="1">
        <f t="shared" si="0"/>
        <v>110816610.25</v>
      </c>
      <c r="C16" s="43">
        <f>'table 2a'!C15</f>
        <v>95358284</v>
      </c>
      <c r="D16" s="2">
        <f>+table4!$C15</f>
        <v>10127666.25</v>
      </c>
      <c r="E16" s="2">
        <f>+table5!$C15</f>
        <v>5330660</v>
      </c>
      <c r="F16" s="2"/>
      <c r="G16" s="36">
        <f>+B16/(table11!$B15*1000)*100</f>
        <v>0.9498292770645554</v>
      </c>
      <c r="H16" s="36">
        <f>+C16/(table11!$B15*1000)*100</f>
        <v>0.8173331574526894</v>
      </c>
      <c r="I16" s="36">
        <f>+D16/(table11!$B15*1000)*100</f>
        <v>0.08680606536228712</v>
      </c>
      <c r="J16" s="36">
        <f>+E16/(table11!$B15*1000)*100</f>
        <v>0.045690054249578914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14596009.64</v>
      </c>
      <c r="C18" s="43">
        <f>'table 2a'!C17</f>
        <v>12250000</v>
      </c>
      <c r="D18" s="2">
        <f>+table4!$C17</f>
        <v>2346009.64</v>
      </c>
      <c r="E18" s="2">
        <f>+table5!$C17</f>
        <v>0</v>
      </c>
      <c r="F18" s="2"/>
      <c r="G18" s="36">
        <f>+B18/(table11!$B17*1000)*100</f>
        <v>0.5917940982808952</v>
      </c>
      <c r="H18" s="36">
        <f>+C18/(table11!$B17*1000)*100</f>
        <v>0.49667531625040545</v>
      </c>
      <c r="I18" s="36">
        <f>+D18/(table11!$B17*1000)*100</f>
        <v>0.09511878203048979</v>
      </c>
      <c r="J18" s="36">
        <f>+E18/(table11!$B17*1000)*100</f>
        <v>0</v>
      </c>
    </row>
    <row r="19" spans="1:10" ht="12.75">
      <c r="A19" s="3" t="s">
        <v>7</v>
      </c>
      <c r="B19" s="1">
        <f t="shared" si="0"/>
        <v>217983058.69</v>
      </c>
      <c r="C19" s="43">
        <f>'table 2a'!C18</f>
        <v>151107358</v>
      </c>
      <c r="D19" s="2">
        <f>+table4!$C18</f>
        <v>57277937.91</v>
      </c>
      <c r="E19" s="2">
        <f>+table5!$C18</f>
        <v>9597762.78</v>
      </c>
      <c r="F19" s="2"/>
      <c r="G19" s="36">
        <f>+B19/(table11!$B18*1000)*100</f>
        <v>1.2153871196755355</v>
      </c>
      <c r="H19" s="36">
        <f>+C19/(table11!$B18*1000)*100</f>
        <v>0.8425147243326812</v>
      </c>
      <c r="I19" s="36">
        <f>+D19/(table11!$B18*1000)*100</f>
        <v>0.3193590749471516</v>
      </c>
      <c r="J19" s="36">
        <f>+E19/(table11!$B18*1000)*100</f>
        <v>0.053513320395702814</v>
      </c>
    </row>
    <row r="20" spans="1:10" ht="12.75">
      <c r="A20" s="3" t="s">
        <v>8</v>
      </c>
      <c r="B20" s="1">
        <f t="shared" si="0"/>
        <v>79342554.98</v>
      </c>
      <c r="C20" s="43">
        <f>'table 2a'!C19</f>
        <v>64435162</v>
      </c>
      <c r="D20" s="2">
        <f>+table4!$C19</f>
        <v>14907392.98</v>
      </c>
      <c r="E20" s="2">
        <f>+table5!$C19</f>
        <v>0</v>
      </c>
      <c r="F20" s="2"/>
      <c r="G20" s="36">
        <f>+B20/(table11!$B19*1000)*100</f>
        <v>0.8618488504399318</v>
      </c>
      <c r="H20" s="36">
        <f>+C20/(table11!$B19*1000)*100</f>
        <v>0.6999191078685223</v>
      </c>
      <c r="I20" s="36">
        <f>+D20/(table11!$B19*1000)*100</f>
        <v>0.16192974257140955</v>
      </c>
      <c r="J20" s="36">
        <f>+E20/(table11!$B19*1000)*100</f>
        <v>0</v>
      </c>
    </row>
    <row r="21" spans="1:10" ht="12.75">
      <c r="A21" s="3" t="s">
        <v>238</v>
      </c>
      <c r="B21" s="1">
        <f t="shared" si="0"/>
        <v>167043451.17000002</v>
      </c>
      <c r="C21" s="43">
        <f>'table 2a'!C20</f>
        <v>135856000</v>
      </c>
      <c r="D21" s="2">
        <f>+table4!$C20</f>
        <v>26924040.17</v>
      </c>
      <c r="E21" s="2">
        <f>+table5!$C20</f>
        <v>4263411</v>
      </c>
      <c r="F21" s="2"/>
      <c r="G21" s="36">
        <f>+B21/(table11!$B20*1000)*100</f>
        <v>1.0429136695848793</v>
      </c>
      <c r="H21" s="36">
        <f>+C21/(table11!$B20*1000)*100</f>
        <v>0.8481989476554187</v>
      </c>
      <c r="I21" s="36">
        <f>+D21/(table11!$B20*1000)*100</f>
        <v>0.1680966798582781</v>
      </c>
      <c r="J21" s="36">
        <f>+E21/(table11!$B20*1000)*100</f>
        <v>0.026618042071182256</v>
      </c>
    </row>
    <row r="22" spans="1:10" ht="12.75">
      <c r="A22" s="3" t="s">
        <v>10</v>
      </c>
      <c r="B22" s="1">
        <f t="shared" si="0"/>
        <v>20855781.17</v>
      </c>
      <c r="C22" s="43">
        <f>'table 2a'!C21</f>
        <v>16669686</v>
      </c>
      <c r="D22" s="2">
        <f>+table4!$C21</f>
        <v>2871662</v>
      </c>
      <c r="E22" s="2">
        <f>+table5!$C21</f>
        <v>1314433.17</v>
      </c>
      <c r="F22" s="2"/>
      <c r="G22" s="36">
        <f>+B22/(table11!$B21*1000)*100</f>
        <v>0.7375189162714874</v>
      </c>
      <c r="H22" s="36">
        <f>+C22/(table11!$B21*1000)*100</f>
        <v>0.5894868503410743</v>
      </c>
      <c r="I22" s="36">
        <f>+D22/(table11!$B21*1000)*100</f>
        <v>0.10155002245538099</v>
      </c>
      <c r="J22" s="36">
        <f>+E22/(table11!$B21*1000)*100</f>
        <v>0.04648204347503209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289289957.23</v>
      </c>
      <c r="C24" s="43">
        <f>'table 2a'!C23</f>
        <v>228388007.23</v>
      </c>
      <c r="D24" s="2">
        <f>+table4!$C23</f>
        <v>37139427</v>
      </c>
      <c r="E24" s="2">
        <f>+table5!$C23</f>
        <v>23762523</v>
      </c>
      <c r="F24" s="2"/>
      <c r="G24" s="36">
        <f>+B24/(table11!$B23*1000)*100</f>
        <v>1.0884583821410174</v>
      </c>
      <c r="H24" s="36">
        <f>+C24/(table11!$B23*1000)*100</f>
        <v>0.859313759904685</v>
      </c>
      <c r="I24" s="36">
        <f>+D24/(table11!$B23*1000)*100</f>
        <v>0.13973772547494534</v>
      </c>
      <c r="J24" s="36">
        <f>+E24/(table11!$B23*1000)*100</f>
        <v>0.08940689676138716</v>
      </c>
    </row>
    <row r="25" spans="1:10" ht="12.75">
      <c r="A25" s="3" t="s">
        <v>12</v>
      </c>
      <c r="B25" s="1">
        <f t="shared" si="0"/>
        <v>23882696.21</v>
      </c>
      <c r="C25" s="43">
        <f>'table 2a'!C24</f>
        <v>21900167.98</v>
      </c>
      <c r="D25" s="2">
        <f>+table4!$C24</f>
        <v>1982528.23</v>
      </c>
      <c r="E25" s="2">
        <f>+table5!$C24</f>
        <v>0</v>
      </c>
      <c r="F25" s="2"/>
      <c r="G25" s="36">
        <f>+B25/(table11!$B24*1000)*100</f>
        <v>0.6178099096076445</v>
      </c>
      <c r="H25" s="36">
        <f>+C25/(table11!$B24*1000)*100</f>
        <v>0.5665248463216134</v>
      </c>
      <c r="I25" s="36">
        <f>+D25/(table11!$B24*1000)*100</f>
        <v>0.05128506328603103</v>
      </c>
      <c r="J25" s="36">
        <f>+E25/(table11!$B24*1000)*100</f>
        <v>0</v>
      </c>
    </row>
    <row r="26" spans="1:10" ht="12.75">
      <c r="A26" s="3" t="s">
        <v>13</v>
      </c>
      <c r="B26" s="1">
        <f t="shared" si="0"/>
        <v>289930741</v>
      </c>
      <c r="C26" s="43">
        <f>'table 2a'!C25</f>
        <v>199614800</v>
      </c>
      <c r="D26" s="2">
        <f>+table4!$C25</f>
        <v>79119796</v>
      </c>
      <c r="E26" s="2">
        <f>+table5!$C25</f>
        <v>11196145</v>
      </c>
      <c r="F26" s="2"/>
      <c r="G26" s="36">
        <f>+B26/(table11!$B25*1000)*100</f>
        <v>1.2619781784930444</v>
      </c>
      <c r="H26" s="36">
        <f>+C26/(table11!$B25*1000)*100</f>
        <v>0.8688610281041339</v>
      </c>
      <c r="I26" s="36">
        <f>+D26/(table11!$B25*1000)*100</f>
        <v>0.3443838197165207</v>
      </c>
      <c r="J26" s="36">
        <f>+E26/(table11!$B25*1000)*100</f>
        <v>0.048733330672389816</v>
      </c>
    </row>
    <row r="27" spans="1:10" ht="12.75">
      <c r="A27" s="3" t="s">
        <v>14</v>
      </c>
      <c r="B27" s="1">
        <f t="shared" si="0"/>
        <v>517333366</v>
      </c>
      <c r="C27" s="43">
        <f>'table 2a'!C26</f>
        <v>427176316</v>
      </c>
      <c r="D27" s="2">
        <f>+table4!$C26</f>
        <v>57759216</v>
      </c>
      <c r="E27" s="2">
        <f>+table5!$C26</f>
        <v>32397834</v>
      </c>
      <c r="F27" s="2"/>
      <c r="G27" s="36">
        <f>+B27/(table11!$B26*1000)*100</f>
        <v>1.230099445687265</v>
      </c>
      <c r="H27" s="36">
        <f>+C27/(table11!$B26*1000)*100</f>
        <v>1.0157267712794846</v>
      </c>
      <c r="I27" s="36">
        <f>+D27/(table11!$B26*1000)*100</f>
        <v>0.13733809619565696</v>
      </c>
      <c r="J27" s="36">
        <f>+E27/(table11!$B26*1000)*100</f>
        <v>0.07703457821212333</v>
      </c>
    </row>
    <row r="28" spans="1:10" ht="12.75">
      <c r="A28" s="3" t="s">
        <v>15</v>
      </c>
      <c r="B28" s="1">
        <f t="shared" si="0"/>
        <v>17954688</v>
      </c>
      <c r="C28" s="43">
        <f>'table 2a'!C27</f>
        <v>16217000</v>
      </c>
      <c r="D28" s="2">
        <f>+table4!$C27</f>
        <v>1737688</v>
      </c>
      <c r="E28" s="2">
        <f>+table5!$C27</f>
        <v>0</v>
      </c>
      <c r="F28" s="2"/>
      <c r="G28" s="36">
        <f>+B28/(table11!$B27*1000)*100</f>
        <v>0.707994104086997</v>
      </c>
      <c r="H28" s="36">
        <f>+C28/(table11!$B27*1000)*100</f>
        <v>0.6394731217818339</v>
      </c>
      <c r="I28" s="36">
        <f>+D28/(table11!$B27*1000)*100</f>
        <v>0.06852098230516318</v>
      </c>
      <c r="J28" s="36">
        <f>+E28/(table11!$B27*1000)*100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1870047835</v>
      </c>
      <c r="C30" s="43">
        <f>'table 2a'!C29</f>
        <v>1449834862</v>
      </c>
      <c r="D30" s="2">
        <f>+table4!$C29</f>
        <v>270502472</v>
      </c>
      <c r="E30" s="2">
        <f>+table5!$C29</f>
        <v>149710501</v>
      </c>
      <c r="F30" s="2"/>
      <c r="G30" s="36">
        <f>+B30/(table11!$B29*1000)*100</f>
        <v>1.110289064022712</v>
      </c>
      <c r="H30" s="36">
        <f>+C30/(table11!$B29*1000)*100</f>
        <v>0.860799259671065</v>
      </c>
      <c r="I30" s="36">
        <f>+D30/(table11!$B29*1000)*100</f>
        <v>0.16060334438060506</v>
      </c>
      <c r="J30" s="36">
        <f>+E30/(table11!$B30*1000)*100</f>
        <v>0.2011348516735859</v>
      </c>
    </row>
    <row r="31" spans="1:10" ht="12.75">
      <c r="A31" s="3" t="s">
        <v>17</v>
      </c>
      <c r="B31" s="1">
        <f t="shared" si="0"/>
        <v>695453687.18</v>
      </c>
      <c r="C31" s="43">
        <f>'table 2a'!C30</f>
        <v>584463226.18</v>
      </c>
      <c r="D31" s="2">
        <f>+table4!$C30</f>
        <v>64649835</v>
      </c>
      <c r="E31" s="2">
        <f>+table5!$C30</f>
        <v>46340626</v>
      </c>
      <c r="F31" s="2"/>
      <c r="G31" s="36">
        <f>+B31/(table11!$B30*1000)*100</f>
        <v>0.9343364245157239</v>
      </c>
      <c r="H31" s="36">
        <f>+C31/(table11!$B30*1000)*100</f>
        <v>0.7852216345624264</v>
      </c>
      <c r="I31" s="36">
        <f>+D31/(table11!$B30*1000)*100</f>
        <v>0.08685653235137328</v>
      </c>
      <c r="J31" s="36">
        <f>+E31/(table11!$B30*1000)*100</f>
        <v>0.06225825760192412</v>
      </c>
    </row>
    <row r="32" spans="1:10" ht="12.75">
      <c r="A32" s="3" t="s">
        <v>18</v>
      </c>
      <c r="B32" s="1">
        <f t="shared" si="0"/>
        <v>62276927.32</v>
      </c>
      <c r="C32" s="43">
        <f>'table 2a'!C31</f>
        <v>43940413</v>
      </c>
      <c r="D32" s="2">
        <f>+table4!$C31</f>
        <v>12181945.32</v>
      </c>
      <c r="E32" s="2">
        <f>+table5!$C31</f>
        <v>6154569</v>
      </c>
      <c r="F32" s="2"/>
      <c r="G32" s="36">
        <f>+B32/(table11!$B31*1000)*100</f>
        <v>0.8461848309401526</v>
      </c>
      <c r="H32" s="36">
        <f>+C32/(table11!$B31*1000)*100</f>
        <v>0.5970383020792472</v>
      </c>
      <c r="I32" s="36">
        <f>+D32/(table11!$B31*1000)*100</f>
        <v>0.1655216110480125</v>
      </c>
      <c r="J32" s="36">
        <f>+E32/(table11!$B31*1000)*100</f>
        <v>0.08362491781289288</v>
      </c>
    </row>
    <row r="33" spans="1:10" ht="12.75">
      <c r="A33" s="3" t="s">
        <v>19</v>
      </c>
      <c r="B33" s="1">
        <f t="shared" si="0"/>
        <v>90969358.72</v>
      </c>
      <c r="C33" s="43">
        <f>'table 2a'!C32</f>
        <v>76000000</v>
      </c>
      <c r="D33" s="2">
        <f>+table4!$C32</f>
        <v>8495272.72</v>
      </c>
      <c r="E33" s="2">
        <f>+table5!$C32</f>
        <v>6474086</v>
      </c>
      <c r="F33" s="2"/>
      <c r="G33" s="36">
        <f>+B33/(table11!$B32*1000)*100</f>
        <v>0.9285580803036408</v>
      </c>
      <c r="H33" s="36">
        <f>+C33/(table11!$B32*1000)*100</f>
        <v>0.7757602680292556</v>
      </c>
      <c r="I33" s="36">
        <f>+D33/(table11!$B32*1000)*100</f>
        <v>0.08671440845064242</v>
      </c>
      <c r="J33" s="36">
        <f>+E33/(table11!$B32*1000)*100</f>
        <v>0.06608340382374278</v>
      </c>
    </row>
    <row r="34" spans="1:10" ht="12.75">
      <c r="A34" s="3" t="s">
        <v>20</v>
      </c>
      <c r="B34" s="1">
        <f t="shared" si="0"/>
        <v>12345268.34</v>
      </c>
      <c r="C34" s="43">
        <f>'table 2a'!C33</f>
        <v>8792192.34</v>
      </c>
      <c r="D34" s="2">
        <f>+table4!$C33</f>
        <v>3553076</v>
      </c>
      <c r="E34" s="2">
        <f>+table5!$C33</f>
        <v>0</v>
      </c>
      <c r="F34" s="2"/>
      <c r="G34" s="36">
        <f>+B34/(table11!$B33*1000)*100</f>
        <v>0.8829255662365731</v>
      </c>
      <c r="H34" s="36">
        <f>+C34/(table11!$B33*1000)*100</f>
        <v>0.6288118805083309</v>
      </c>
      <c r="I34" s="36">
        <f>+D34/(table11!$B33*1000)*100</f>
        <v>0.2541136857282422</v>
      </c>
      <c r="J34" s="36">
        <f>+E34/(table11!$B33*1000)*100</f>
        <v>0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44231920.03</v>
      </c>
      <c r="C36" s="43">
        <f>'table 2a'!C35</f>
        <v>31728712</v>
      </c>
      <c r="D36" s="2">
        <f>+table4!$C35</f>
        <v>10039265.03</v>
      </c>
      <c r="E36" s="2">
        <f>+table5!$C35</f>
        <v>2463943</v>
      </c>
      <c r="F36" s="2"/>
      <c r="G36" s="36">
        <f>+B36/(table11!$B35*1000)*100</f>
        <v>0.5578322596926242</v>
      </c>
      <c r="H36" s="36">
        <f>+C36/(table11!$B35*1000)*100</f>
        <v>0.40014765581263606</v>
      </c>
      <c r="I36" s="36">
        <f>+D36/(table11!$B35*1000)*100</f>
        <v>0.12661050873531435</v>
      </c>
      <c r="J36" s="36">
        <f>+E36/(table11!$B35*1000)*100</f>
        <v>0.031074095144673818</v>
      </c>
    </row>
    <row r="37" spans="1:10" ht="12.75">
      <c r="A37" s="3" t="s">
        <v>22</v>
      </c>
      <c r="B37" s="1">
        <f t="shared" si="0"/>
        <v>118950288.08</v>
      </c>
      <c r="C37" s="43">
        <f>'table 2a'!C36</f>
        <v>85552839.08</v>
      </c>
      <c r="D37" s="2">
        <f>+table4!$C36</f>
        <v>28778136</v>
      </c>
      <c r="E37" s="2">
        <f>+table5!$C36</f>
        <v>4619313</v>
      </c>
      <c r="F37" s="2"/>
      <c r="G37" s="36">
        <f>+B37/(table11!$B36*1000)*100</f>
        <v>0.9961332043346051</v>
      </c>
      <c r="H37" s="36">
        <f>+C37/(table11!$B36*1000)*100</f>
        <v>0.716450755254726</v>
      </c>
      <c r="I37" s="36">
        <f>+D37/(table11!$B36*1000)*100</f>
        <v>0.240998633052298</v>
      </c>
      <c r="J37" s="36">
        <f>+E37/(table11!$B36*1000)*100</f>
        <v>0.03868381602758114</v>
      </c>
    </row>
    <row r="38" spans="1:10" ht="12.75">
      <c r="A38" s="3" t="s">
        <v>23</v>
      </c>
      <c r="B38" s="1">
        <f t="shared" si="0"/>
        <v>49443053</v>
      </c>
      <c r="C38" s="43">
        <f>'table 2a'!C37</f>
        <v>49443053</v>
      </c>
      <c r="D38" s="2">
        <f>+table4!$C37</f>
        <v>0</v>
      </c>
      <c r="E38" s="2">
        <f>+table5!$C37</f>
        <v>0</v>
      </c>
      <c r="F38" s="2"/>
      <c r="G38" s="36">
        <f>+B38/(table11!$B37*1000)*100</f>
        <v>0.782593761416078</v>
      </c>
      <c r="H38" s="36">
        <f>+C38/(table11!$B37*1000)*100</f>
        <v>0.782593761416078</v>
      </c>
      <c r="I38" s="36">
        <f>+D38/(table11!$B37*1000)*100</f>
        <v>0</v>
      </c>
      <c r="J38" s="36">
        <f>+E38/(table11!$B37*1000)*100</f>
        <v>0</v>
      </c>
    </row>
    <row r="39" spans="1:10" ht="12.75">
      <c r="A39" s="12" t="s">
        <v>24</v>
      </c>
      <c r="B39" s="14">
        <f t="shared" si="0"/>
        <v>87990931.84</v>
      </c>
      <c r="C39" s="44">
        <f>'table 2a'!C38</f>
        <v>66703960</v>
      </c>
      <c r="D39" s="13">
        <f>+table4!$C38</f>
        <v>16963748.84</v>
      </c>
      <c r="E39" s="13">
        <f>+table5!$C38</f>
        <v>4323223</v>
      </c>
      <c r="F39" s="13"/>
      <c r="G39" s="35">
        <f>+B39/(table11!$B38*1000)*100</f>
        <v>0.5074828376128062</v>
      </c>
      <c r="H39" s="35">
        <f>+C39/(table11!$B38*1000)*100</f>
        <v>0.38471140369742807</v>
      </c>
      <c r="I39" s="35">
        <f>+D39/(table11!$B38*1000)*100</f>
        <v>0.09783748413448043</v>
      </c>
      <c r="J39" s="35">
        <f>+E39/(table11!$B38*1000)*100</f>
        <v>0.024933949780897656</v>
      </c>
    </row>
    <row r="40" spans="1:10" ht="12.75">
      <c r="A40" s="64"/>
      <c r="B40" s="1"/>
      <c r="G40" s="36"/>
      <c r="H40" s="36"/>
      <c r="I40" s="36"/>
      <c r="J40" s="36"/>
    </row>
    <row r="41" ht="12.75">
      <c r="A41" s="77"/>
    </row>
  </sheetData>
  <sheetProtection password="CAF5" sheet="1"/>
  <mergeCells count="5">
    <mergeCell ref="G6:J6"/>
    <mergeCell ref="A1:J1"/>
    <mergeCell ref="A3:J3"/>
    <mergeCell ref="A4:J4"/>
    <mergeCell ref="B6:E6"/>
  </mergeCells>
  <printOptions horizontalCentered="1"/>
  <pageMargins left="0.61" right="0.69" top="0.83" bottom="1" header="0.67" footer="0.5"/>
  <pageSetup fitToHeight="1" fitToWidth="1" horizontalDpi="600" verticalDpi="600" orientation="landscape" scale="96" r:id="rId1"/>
  <headerFooter alignWithMargins="0">
    <oddHeader>&amp;R
</oddHeader>
    <oddFooter>&amp;L&amp;"Arial,Italic"&amp;9MSDE-DBS 10 / 2009&amp;C- 20 -&amp;R&amp;"Arial,Italic"&amp;9Selected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0.8515625" style="0" customWidth="1"/>
    <col min="2" max="3" width="15.00390625" style="0" bestFit="1" customWidth="1"/>
    <col min="4" max="5" width="13.421875" style="0" bestFit="1" customWidth="1"/>
    <col min="6" max="6" width="4.7109375" style="0" customWidth="1"/>
    <col min="7" max="7" width="11.7109375" style="0" customWidth="1"/>
    <col min="8" max="8" width="11.421875" style="0" customWidth="1"/>
    <col min="9" max="9" width="11.140625" style="0" customWidth="1"/>
    <col min="10" max="10" width="12.7109375" style="0" customWidth="1"/>
  </cols>
  <sheetData>
    <row r="1" spans="1:10" ht="12.75">
      <c r="A1" s="380" t="s">
        <v>291</v>
      </c>
      <c r="B1" s="380"/>
      <c r="C1" s="380"/>
      <c r="D1" s="380"/>
      <c r="E1" s="380"/>
      <c r="F1" s="380"/>
      <c r="G1" s="380"/>
      <c r="H1" s="380"/>
      <c r="I1" s="380"/>
      <c r="J1" s="380"/>
    </row>
    <row r="3" spans="1:10" ht="12.75">
      <c r="A3" s="380" t="s">
        <v>287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2.75">
      <c r="A4" s="380" t="s">
        <v>285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467" t="s">
        <v>198</v>
      </c>
      <c r="C6" s="467"/>
      <c r="D6" s="467"/>
      <c r="E6" s="467"/>
      <c r="F6" s="324"/>
      <c r="G6" s="421" t="s">
        <v>286</v>
      </c>
      <c r="H6" s="421"/>
      <c r="I6" s="421"/>
      <c r="J6" s="421"/>
    </row>
    <row r="7" spans="1:10" ht="12.75">
      <c r="A7" s="3" t="s">
        <v>83</v>
      </c>
      <c r="B7" s="4"/>
      <c r="C7" s="103" t="s">
        <v>115</v>
      </c>
      <c r="D7" s="4" t="s">
        <v>36</v>
      </c>
      <c r="E7" s="4"/>
      <c r="F7" s="4"/>
      <c r="G7" s="4"/>
      <c r="H7" s="4"/>
      <c r="I7" s="4" t="s">
        <v>36</v>
      </c>
      <c r="J7" s="4"/>
    </row>
    <row r="8" spans="1:10" ht="12.75">
      <c r="A8" s="3" t="s">
        <v>35</v>
      </c>
      <c r="B8" s="4" t="s">
        <v>114</v>
      </c>
      <c r="C8" s="102" t="s">
        <v>61</v>
      </c>
      <c r="D8" s="4" t="s">
        <v>41</v>
      </c>
      <c r="E8" s="4" t="s">
        <v>43</v>
      </c>
      <c r="F8" s="4"/>
      <c r="G8" s="4" t="s">
        <v>114</v>
      </c>
      <c r="H8" s="4" t="s">
        <v>115</v>
      </c>
      <c r="I8" s="4" t="s">
        <v>41</v>
      </c>
      <c r="J8" s="4" t="s">
        <v>43</v>
      </c>
    </row>
    <row r="9" spans="1:10" ht="13.5" thickBot="1">
      <c r="A9" s="7" t="s">
        <v>141</v>
      </c>
      <c r="B9" s="8" t="s">
        <v>47</v>
      </c>
      <c r="C9" s="318"/>
      <c r="D9" s="8" t="s">
        <v>42</v>
      </c>
      <c r="E9" s="8" t="s">
        <v>40</v>
      </c>
      <c r="F9" s="8"/>
      <c r="G9" s="8" t="s">
        <v>47</v>
      </c>
      <c r="H9" s="8" t="s">
        <v>124</v>
      </c>
      <c r="I9" s="8" t="s">
        <v>42</v>
      </c>
      <c r="J9" s="8" t="s">
        <v>40</v>
      </c>
    </row>
    <row r="10" spans="1:10" ht="12.75">
      <c r="A10" s="3" t="s">
        <v>0</v>
      </c>
      <c r="B10" s="10">
        <f>SUM(B12:B39)</f>
        <v>6423046339.84</v>
      </c>
      <c r="C10" s="10">
        <f>SUM(C12:C39)</f>
        <v>5126429333.67</v>
      </c>
      <c r="D10" s="10">
        <f>SUM(D12:D39)</f>
        <v>920535871.0800002</v>
      </c>
      <c r="E10" s="10">
        <f>SUM(E12:E39)</f>
        <v>376081135.09000003</v>
      </c>
      <c r="F10" s="10"/>
      <c r="G10" s="37">
        <f>+B10/table9!C10</f>
        <v>0.019610713253826465</v>
      </c>
      <c r="H10" s="37">
        <f>+C10/table9!C10</f>
        <v>0.015651908823237814</v>
      </c>
      <c r="I10" s="37">
        <f>+D10/table9!C10</f>
        <v>0.0028105612278769483</v>
      </c>
      <c r="J10" s="37">
        <f>E10/table9!C10</f>
        <v>0.0011482432027117033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30674572.58</v>
      </c>
      <c r="C12" s="43">
        <f>'table 2a'!C11</f>
        <v>28389000</v>
      </c>
      <c r="D12" s="2">
        <f>+table4!$C11</f>
        <v>390279.58</v>
      </c>
      <c r="E12" s="2">
        <f>+table5!$C11</f>
        <v>1895293</v>
      </c>
      <c r="F12" s="2"/>
      <c r="G12" s="36">
        <f>+B12/table9!C12*100</f>
        <v>1.587906988878672</v>
      </c>
      <c r="H12" s="36">
        <f>(+C12/table9!C12)*100</f>
        <v>1.4695915123090728</v>
      </c>
      <c r="I12" s="36">
        <f>(+D12/table9!C12)*100</f>
        <v>0.020203302624099116</v>
      </c>
      <c r="J12" s="36">
        <f>(E12/table9!C12)*100</f>
        <v>0.0981121739455</v>
      </c>
    </row>
    <row r="13" spans="1:10" ht="12.75">
      <c r="A13" s="3" t="s">
        <v>2</v>
      </c>
      <c r="B13" s="1">
        <f t="shared" si="0"/>
        <v>600558158</v>
      </c>
      <c r="C13" s="43">
        <f>'table 2a'!C12</f>
        <v>514347400</v>
      </c>
      <c r="D13" s="2">
        <f>+table4!$C12</f>
        <v>53858174</v>
      </c>
      <c r="E13" s="2">
        <f>+table5!$C12</f>
        <v>32352584</v>
      </c>
      <c r="F13" s="2"/>
      <c r="G13" s="36">
        <f>+B13/table9!C13*100</f>
        <v>1.6581503873170196</v>
      </c>
      <c r="H13" s="36">
        <f>(+C13/table9!C13)*100</f>
        <v>1.4201211475766882</v>
      </c>
      <c r="I13" s="36">
        <f>(+D13/table9!C13)*100</f>
        <v>0.14870325361276243</v>
      </c>
      <c r="J13" s="36">
        <f>(E13/table9!C13)*100</f>
        <v>0.08932598612756903</v>
      </c>
    </row>
    <row r="14" spans="1:10" ht="12.75">
      <c r="A14" s="3" t="s">
        <v>3</v>
      </c>
      <c r="B14" s="1">
        <f t="shared" si="0"/>
        <v>267084390.41</v>
      </c>
      <c r="C14" s="43">
        <f>'table 2a'!C13</f>
        <v>200396167.86</v>
      </c>
      <c r="D14" s="2">
        <f>+table4!$C13</f>
        <v>58961682.41</v>
      </c>
      <c r="E14" s="2">
        <f>+table5!$C13</f>
        <v>7726540.14</v>
      </c>
      <c r="F14" s="2"/>
      <c r="G14" s="36">
        <f>+B14/table9!C14*100</f>
        <v>1.601250988233966</v>
      </c>
      <c r="H14" s="36">
        <f>(+C14/table9!C14)*100</f>
        <v>1.2014351019598575</v>
      </c>
      <c r="I14" s="36">
        <f>(+D14/table9!C14)*100</f>
        <v>0.3534929618388316</v>
      </c>
      <c r="J14" s="36">
        <f>(E14/table9!C14)*100</f>
        <v>0.04632292443527683</v>
      </c>
    </row>
    <row r="15" spans="1:10" ht="12.75">
      <c r="A15" s="3" t="s">
        <v>4</v>
      </c>
      <c r="B15" s="1">
        <f t="shared" si="0"/>
        <v>743991035</v>
      </c>
      <c r="C15" s="43">
        <f>'table 2a'!C14</f>
        <v>617864727</v>
      </c>
      <c r="D15" s="2">
        <f>+table4!$C14</f>
        <v>99968620</v>
      </c>
      <c r="E15" s="2">
        <f>+table5!$C14</f>
        <v>26157688</v>
      </c>
      <c r="F15" s="2"/>
      <c r="G15" s="36">
        <f>+B15/table9!C15*100</f>
        <v>1.8086454535733307</v>
      </c>
      <c r="H15" s="36">
        <f>(+C15/table9!C15)*100</f>
        <v>1.502031848289512</v>
      </c>
      <c r="I15" s="36">
        <f>(+D15/table9!C15)*100</f>
        <v>0.24302415157865434</v>
      </c>
      <c r="J15" s="36">
        <f>(E15/table9!C15)*100</f>
        <v>0.06358945370516415</v>
      </c>
    </row>
    <row r="16" spans="1:10" ht="12.75">
      <c r="A16" s="3" t="s">
        <v>5</v>
      </c>
      <c r="B16" s="1">
        <f t="shared" si="0"/>
        <v>110816610.25</v>
      </c>
      <c r="C16" s="43">
        <f>'table 2a'!C15</f>
        <v>95358284</v>
      </c>
      <c r="D16" s="2">
        <f>+table4!$C15</f>
        <v>10127666.25</v>
      </c>
      <c r="E16" s="2">
        <f>+table5!$C15</f>
        <v>5330660</v>
      </c>
      <c r="F16" s="2"/>
      <c r="G16" s="36">
        <f>+B16/table9!C16*100</f>
        <v>1.8818677481279817</v>
      </c>
      <c r="H16" s="36">
        <f>(+C16/table9!C16)*100</f>
        <v>1.6193572314799132</v>
      </c>
      <c r="I16" s="36">
        <f>(+D16/table9!C16)*100</f>
        <v>0.17198620709190357</v>
      </c>
      <c r="J16" s="36">
        <f>(E16/table9!C16)*100</f>
        <v>0.09052430955616518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14596009.64</v>
      </c>
      <c r="C18" s="43">
        <f>'table 2a'!C17</f>
        <v>12250000</v>
      </c>
      <c r="D18" s="2">
        <f>+table4!$C17</f>
        <v>2346009.64</v>
      </c>
      <c r="E18" s="2">
        <f>+table5!$C17</f>
        <v>0</v>
      </c>
      <c r="F18" s="2"/>
      <c r="G18" s="36">
        <f>+B18/table9!C18*100</f>
        <v>1.1857728657588993</v>
      </c>
      <c r="H18" s="36">
        <f>(+C18/table9!C18)*100</f>
        <v>0.995184160864018</v>
      </c>
      <c r="I18" s="36">
        <f>(+D18/table9!C18)*100</f>
        <v>0.19058870489488136</v>
      </c>
      <c r="J18" s="36">
        <f>(E18/table9!C18)*100</f>
        <v>0</v>
      </c>
    </row>
    <row r="19" spans="1:10" ht="12.75">
      <c r="A19" s="3" t="s">
        <v>7</v>
      </c>
      <c r="B19" s="1">
        <f t="shared" si="0"/>
        <v>217983058.69</v>
      </c>
      <c r="C19" s="43">
        <f>'table 2a'!C18</f>
        <v>151107358</v>
      </c>
      <c r="D19" s="2">
        <f>+table4!$C18</f>
        <v>57277937.91</v>
      </c>
      <c r="E19" s="2">
        <f>+table5!$C18</f>
        <v>9597762.78</v>
      </c>
      <c r="F19" s="2"/>
      <c r="G19" s="36">
        <f>+B19/table9!C19*100</f>
        <v>2.2860607235679202</v>
      </c>
      <c r="H19" s="36">
        <f>(+C19/table9!C19)*100</f>
        <v>1.584713042572624</v>
      </c>
      <c r="I19" s="36">
        <f>(+D19/table9!C19)*100</f>
        <v>0.6006927555284366</v>
      </c>
      <c r="J19" s="36">
        <f>(E19/table9!C19)*100</f>
        <v>0.1006549254668597</v>
      </c>
    </row>
    <row r="20" spans="1:10" ht="12.75">
      <c r="A20" s="3" t="s">
        <v>8</v>
      </c>
      <c r="B20" s="1">
        <f t="shared" si="0"/>
        <v>79342554.98</v>
      </c>
      <c r="C20" s="43">
        <f>'table 2a'!C19</f>
        <v>64435162</v>
      </c>
      <c r="D20" s="2">
        <f>+table4!$C19</f>
        <v>14907392.98</v>
      </c>
      <c r="E20" s="2">
        <f>+table5!$C19</f>
        <v>0</v>
      </c>
      <c r="F20" s="2"/>
      <c r="G20" s="36">
        <f>+B20/table9!C20*100</f>
        <v>1.6890133027691858</v>
      </c>
      <c r="H20" s="36">
        <f>(+C20/table9!C20)*100</f>
        <v>1.3716705469280759</v>
      </c>
      <c r="I20" s="36">
        <f>(+D20/table9!C20)*100</f>
        <v>0.3173427558411099</v>
      </c>
      <c r="J20" s="36">
        <f>(E20/table9!C20)*100</f>
        <v>0</v>
      </c>
    </row>
    <row r="21" spans="1:10" ht="12.75">
      <c r="A21" s="3" t="s">
        <v>238</v>
      </c>
      <c r="B21" s="1">
        <f t="shared" si="0"/>
        <v>167043451.17000002</v>
      </c>
      <c r="C21" s="43">
        <f>'table 2a'!C20</f>
        <v>135856000</v>
      </c>
      <c r="D21" s="2">
        <f>+table4!$C20</f>
        <v>26924040.17</v>
      </c>
      <c r="E21" s="2">
        <f>+table5!$C20</f>
        <v>4263411</v>
      </c>
      <c r="F21" s="2"/>
      <c r="G21" s="36">
        <f>+B21/table9!C21*100</f>
        <v>2.132405654891985</v>
      </c>
      <c r="H21" s="36">
        <f>(+C21/table9!C21)*100</f>
        <v>1.7342799171227485</v>
      </c>
      <c r="I21" s="36">
        <f>(+D21/table9!C21)*100</f>
        <v>0.34370084615060914</v>
      </c>
      <c r="J21" s="36">
        <f>(E21/table9!C21)*100</f>
        <v>0.054424891618627194</v>
      </c>
    </row>
    <row r="22" spans="1:10" ht="12.75">
      <c r="A22" s="3" t="s">
        <v>10</v>
      </c>
      <c r="B22" s="1">
        <f t="shared" si="0"/>
        <v>20855781.17</v>
      </c>
      <c r="C22" s="43">
        <f>'table 2a'!C21</f>
        <v>16669686</v>
      </c>
      <c r="D22" s="2">
        <f>+table4!$C21</f>
        <v>2871662</v>
      </c>
      <c r="E22" s="2">
        <f>+table5!$C21</f>
        <v>1314433.17</v>
      </c>
      <c r="F22" s="2"/>
      <c r="G22" s="36">
        <f>+B22/table9!C22*100</f>
        <v>1.5426474993721595</v>
      </c>
      <c r="H22" s="36">
        <f>(+C22/table9!C22)*100</f>
        <v>1.2330130055358217</v>
      </c>
      <c r="I22" s="36">
        <f>(+D22/table9!C22)*100</f>
        <v>0.21240931553857756</v>
      </c>
      <c r="J22" s="36">
        <f>(E22/table9!C22)*100</f>
        <v>0.09722517829776021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289289957.23</v>
      </c>
      <c r="C24" s="43">
        <f>'table 2a'!C23</f>
        <v>228388007.23</v>
      </c>
      <c r="D24" s="2">
        <f>+table4!$C23</f>
        <v>37139427</v>
      </c>
      <c r="E24" s="2">
        <f>+table5!$C23</f>
        <v>23762523</v>
      </c>
      <c r="F24" s="2"/>
      <c r="G24" s="36">
        <f>+B24/table9!C24*100</f>
        <v>2.1423305590746606</v>
      </c>
      <c r="H24" s="36">
        <f>(+C24/table9!C24)*100</f>
        <v>1.6913224776274876</v>
      </c>
      <c r="I24" s="36">
        <f>(+D24/table9!C24)*100</f>
        <v>0.2750352282203991</v>
      </c>
      <c r="J24" s="36">
        <f>(E24/table9!C24)*100</f>
        <v>0.1759728532267739</v>
      </c>
    </row>
    <row r="25" spans="1:10" ht="12.75">
      <c r="A25" s="3" t="s">
        <v>12</v>
      </c>
      <c r="B25" s="1">
        <f t="shared" si="0"/>
        <v>23882696.21</v>
      </c>
      <c r="C25" s="43">
        <f>'table 2a'!C24</f>
        <v>21900167.98</v>
      </c>
      <c r="D25" s="2">
        <f>+table4!$C24</f>
        <v>1982528.23</v>
      </c>
      <c r="E25" s="2">
        <f>+table5!$C24</f>
        <v>0</v>
      </c>
      <c r="F25" s="2"/>
      <c r="G25" s="36">
        <f>+B25/table9!C25*100</f>
        <v>1.385840034526407</v>
      </c>
      <c r="H25" s="36">
        <f>(+C25/table9!C25)*100</f>
        <v>1.2707999667487004</v>
      </c>
      <c r="I25" s="36">
        <f>(+D25/table9!C25)*100</f>
        <v>0.1150400677777066</v>
      </c>
      <c r="J25" s="36">
        <f>(E25/table9!C25)*100</f>
        <v>0</v>
      </c>
    </row>
    <row r="26" spans="1:10" ht="12.75">
      <c r="A26" s="3" t="s">
        <v>13</v>
      </c>
      <c r="B26" s="1">
        <f t="shared" si="0"/>
        <v>289930741</v>
      </c>
      <c r="C26" s="43">
        <f>'table 2a'!C25</f>
        <v>199614800</v>
      </c>
      <c r="D26" s="2">
        <f>+table4!$C25</f>
        <v>79119796</v>
      </c>
      <c r="E26" s="2">
        <f>+table5!$C25</f>
        <v>11196145</v>
      </c>
      <c r="F26" s="2"/>
      <c r="G26" s="36">
        <f>+B26/table9!C26*100</f>
        <v>2.29307693831736</v>
      </c>
      <c r="H26" s="36">
        <f>(+C26/table9!C26)*100</f>
        <v>1.5787635793571544</v>
      </c>
      <c r="I26" s="36">
        <f>(+D26/table9!C26)*100</f>
        <v>0.6257624801916886</v>
      </c>
      <c r="J26" s="36">
        <f>(E26/table9!C26)*100</f>
        <v>0.0885508787685167</v>
      </c>
    </row>
    <row r="27" spans="1:10" ht="12.75">
      <c r="A27" s="3" t="s">
        <v>14</v>
      </c>
      <c r="B27" s="1">
        <f t="shared" si="0"/>
        <v>517333366</v>
      </c>
      <c r="C27" s="43">
        <f>'table 2a'!C26</f>
        <v>427176316</v>
      </c>
      <c r="D27" s="2">
        <f>+table4!$C26</f>
        <v>57759216</v>
      </c>
      <c r="E27" s="2">
        <f>+table5!$C26</f>
        <v>32397834</v>
      </c>
      <c r="F27" s="2"/>
      <c r="G27" s="36">
        <f>+B27/table9!C27*100</f>
        <v>2.3552168915082277</v>
      </c>
      <c r="H27" s="36">
        <f>(+C27/table9!C27)*100</f>
        <v>1.9447670326670101</v>
      </c>
      <c r="I27" s="36">
        <f>(+D27/table9!C27)*100</f>
        <v>0.2629551660572233</v>
      </c>
      <c r="J27" s="36">
        <f>(E27/table9!C27)*100</f>
        <v>0.14749469278399407</v>
      </c>
    </row>
    <row r="28" spans="1:10" ht="12.75">
      <c r="A28" s="3" t="s">
        <v>15</v>
      </c>
      <c r="B28" s="1">
        <f t="shared" si="0"/>
        <v>17954688</v>
      </c>
      <c r="C28" s="43">
        <f>'table 2a'!C27</f>
        <v>16217000</v>
      </c>
      <c r="D28" s="2">
        <f>+table4!$C27</f>
        <v>1737688</v>
      </c>
      <c r="E28" s="2">
        <f>+table5!$C27</f>
        <v>0</v>
      </c>
      <c r="F28" s="2"/>
      <c r="G28" s="36">
        <f>+B28/table9!C28*100</f>
        <v>1.5136356166458733</v>
      </c>
      <c r="H28" s="36">
        <f>(+C28/table9!C28)*100</f>
        <v>1.3671431547652695</v>
      </c>
      <c r="I28" s="36">
        <f>(+D28/table9!C28)*100</f>
        <v>0.1464924618806038</v>
      </c>
      <c r="J28" s="36">
        <f>(E28/table9!C28)*100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1870047835</v>
      </c>
      <c r="C30" s="43">
        <f>'table 2a'!C29</f>
        <v>1449834862</v>
      </c>
      <c r="D30" s="2">
        <f>+table4!$C29</f>
        <v>270502472</v>
      </c>
      <c r="E30" s="2">
        <f>+table5!$C29</f>
        <v>149710501</v>
      </c>
      <c r="F30" s="2"/>
      <c r="G30" s="36">
        <f>+B30/table9!C30*100</f>
        <v>2.223702184878563</v>
      </c>
      <c r="H30" s="36">
        <f>(+C30/table9!C30)*100</f>
        <v>1.7240205785123726</v>
      </c>
      <c r="I30" s="36">
        <f>(+D30/table9!C30)*100</f>
        <v>0.32165858367010824</v>
      </c>
      <c r="J30" s="36">
        <f>(E30/table9!C30)*100</f>
        <v>0.17802302269608214</v>
      </c>
    </row>
    <row r="31" spans="1:10" ht="12.75">
      <c r="A31" s="3" t="s">
        <v>17</v>
      </c>
      <c r="B31" s="1">
        <f t="shared" si="0"/>
        <v>695453687.18</v>
      </c>
      <c r="C31" s="43">
        <f>'table 2a'!C30</f>
        <v>584463226.18</v>
      </c>
      <c r="D31" s="2">
        <f>+table4!$C30</f>
        <v>64649835</v>
      </c>
      <c r="E31" s="2">
        <f>+table5!$C30</f>
        <v>46340626</v>
      </c>
      <c r="F31" s="2"/>
      <c r="G31" s="36">
        <f>+B31/table9!C31*100</f>
        <v>1.8938941371429103</v>
      </c>
      <c r="H31" s="36">
        <f>(+C31/table9!C31)*100</f>
        <v>1.5916393828126152</v>
      </c>
      <c r="I31" s="36">
        <f>(+D31/table9!C31)*100</f>
        <v>0.17605765233661944</v>
      </c>
      <c r="J31" s="36">
        <f>(E31/table9!C31)*100</f>
        <v>0.12619710199367573</v>
      </c>
    </row>
    <row r="32" spans="1:10" ht="12.75">
      <c r="A32" s="3" t="s">
        <v>18</v>
      </c>
      <c r="B32" s="1">
        <f t="shared" si="0"/>
        <v>62276927.32</v>
      </c>
      <c r="C32" s="43">
        <f>'table 2a'!C31</f>
        <v>43940413</v>
      </c>
      <c r="D32" s="2">
        <f>+table4!$C31</f>
        <v>12181945.32</v>
      </c>
      <c r="E32" s="2">
        <f>+table5!$C31</f>
        <v>6154569</v>
      </c>
      <c r="F32" s="2"/>
      <c r="G32" s="36">
        <f>+B32/table9!C32*100</f>
        <v>1.8063607378873043</v>
      </c>
      <c r="H32" s="36">
        <f>(+C32/table9!C32)*100</f>
        <v>1.2745047044776534</v>
      </c>
      <c r="I32" s="36">
        <f>(+D32/table9!C32)*100</f>
        <v>0.3533409351439081</v>
      </c>
      <c r="J32" s="36">
        <f>(E32/table9!C32)*100</f>
        <v>0.1785150982657429</v>
      </c>
    </row>
    <row r="33" spans="1:10" ht="12.75">
      <c r="A33" s="3" t="s">
        <v>19</v>
      </c>
      <c r="B33" s="1">
        <f t="shared" si="0"/>
        <v>90969358.72</v>
      </c>
      <c r="C33" s="43">
        <f>'table 2a'!C32</f>
        <v>76000000</v>
      </c>
      <c r="D33" s="2">
        <f>+table4!$C32</f>
        <v>8495272.72</v>
      </c>
      <c r="E33" s="2">
        <f>+table5!$C32</f>
        <v>6474086</v>
      </c>
      <c r="F33" s="2"/>
      <c r="G33" s="36">
        <f>+B33/table9!C33*100</f>
        <v>1.8233801913990604</v>
      </c>
      <c r="H33" s="36">
        <f>(+C33/table9!C33)*100</f>
        <v>1.5233359506563375</v>
      </c>
      <c r="I33" s="36">
        <f>(+D33/table9!C33)*100</f>
        <v>0.17027834664481648</v>
      </c>
      <c r="J33" s="36">
        <f>(E33/table9!C33)*100</f>
        <v>0.1297658940979064</v>
      </c>
    </row>
    <row r="34" spans="1:10" ht="12.75">
      <c r="A34" s="3" t="s">
        <v>20</v>
      </c>
      <c r="B34" s="1">
        <f t="shared" si="0"/>
        <v>12345268.34</v>
      </c>
      <c r="C34" s="43">
        <f>'table 2a'!C33</f>
        <v>8792192.34</v>
      </c>
      <c r="D34" s="2">
        <f>+table4!$C33</f>
        <v>3553076</v>
      </c>
      <c r="E34" s="2">
        <f>+table5!$C33</f>
        <v>0</v>
      </c>
      <c r="F34" s="2"/>
      <c r="G34" s="36">
        <f>+B34/table9!C34*100</f>
        <v>1.8255942667063023</v>
      </c>
      <c r="H34" s="36">
        <f>(+C34/table9!C34)*100</f>
        <v>1.3001722996717842</v>
      </c>
      <c r="I34" s="36">
        <f>(+D34/table9!C34)*100</f>
        <v>0.5254219670345183</v>
      </c>
      <c r="J34" s="36">
        <f>(E34/table9!C34)*100</f>
        <v>0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44231920.03</v>
      </c>
      <c r="C36" s="43">
        <f>'table 2a'!C35</f>
        <v>31728712</v>
      </c>
      <c r="D36" s="2">
        <f>+table4!$C35</f>
        <v>10039265.03</v>
      </c>
      <c r="E36" s="2">
        <f>+table5!$C35</f>
        <v>2463943</v>
      </c>
      <c r="F36" s="2"/>
      <c r="G36" s="36">
        <f>+B36/table9!C36*100</f>
        <v>1.2463676930783822</v>
      </c>
      <c r="H36" s="36">
        <f>(+C36/table9!C36)*100</f>
        <v>0.8940521133373099</v>
      </c>
      <c r="I36" s="36">
        <f>(+D36/table9!C36)*100</f>
        <v>0.2828865576524143</v>
      </c>
      <c r="J36" s="36">
        <f>(E36/table9!C36)*100</f>
        <v>0.06942902208865809</v>
      </c>
    </row>
    <row r="37" spans="1:10" ht="12.75">
      <c r="A37" s="3" t="s">
        <v>22</v>
      </c>
      <c r="B37" s="1">
        <f t="shared" si="0"/>
        <v>118950288.08</v>
      </c>
      <c r="C37" s="43">
        <f>'table 2a'!C36</f>
        <v>85552839.08</v>
      </c>
      <c r="D37" s="2">
        <f>+table4!$C36</f>
        <v>28778136</v>
      </c>
      <c r="E37" s="2">
        <f>+table5!$C36</f>
        <v>4619313</v>
      </c>
      <c r="F37" s="2"/>
      <c r="G37" s="36">
        <f>+B37/table9!C37*100</f>
        <v>1.9151823931594272</v>
      </c>
      <c r="H37" s="36">
        <f>(+C37/table9!C37)*100</f>
        <v>1.3774602292734335</v>
      </c>
      <c r="I37" s="36">
        <f>(+D37/table9!C37)*100</f>
        <v>0.4633480108772803</v>
      </c>
      <c r="J37" s="36">
        <f>(E37/table9!C37)*100</f>
        <v>0.07437415300871336</v>
      </c>
    </row>
    <row r="38" spans="1:10" ht="12.75">
      <c r="A38" s="3" t="s">
        <v>23</v>
      </c>
      <c r="B38" s="1">
        <f t="shared" si="0"/>
        <v>49443053</v>
      </c>
      <c r="C38" s="43">
        <f>'table 2a'!C37</f>
        <v>49443053</v>
      </c>
      <c r="D38" s="2">
        <f>+table4!$C37</f>
        <v>0</v>
      </c>
      <c r="E38" s="2">
        <f>+table5!$C37</f>
        <v>0</v>
      </c>
      <c r="F38" s="2"/>
      <c r="G38" s="36">
        <f>+B38/table9!C38*100</f>
        <v>1.3845794104348847</v>
      </c>
      <c r="H38" s="36">
        <f>(+C38/table9!C38)*100</f>
        <v>1.3845794104348847</v>
      </c>
      <c r="I38" s="36">
        <f>(+D38/table9!C38)*100</f>
        <v>0</v>
      </c>
      <c r="J38" s="36">
        <f>(E38/table9!C38)*100</f>
        <v>0</v>
      </c>
    </row>
    <row r="39" spans="1:10" ht="12.75">
      <c r="A39" s="12" t="s">
        <v>24</v>
      </c>
      <c r="B39" s="14">
        <f t="shared" si="0"/>
        <v>87990931.84</v>
      </c>
      <c r="C39" s="44">
        <f>'table 2a'!C38</f>
        <v>66703960</v>
      </c>
      <c r="D39" s="13">
        <f>+table4!$C38</f>
        <v>16963748.84</v>
      </c>
      <c r="E39" s="13">
        <f>+table5!$C38</f>
        <v>4323223</v>
      </c>
      <c r="F39" s="13"/>
      <c r="G39" s="35">
        <f>+B39/table9!C39*100</f>
        <v>1.3052612076834909</v>
      </c>
      <c r="H39" s="35">
        <f>(+C39/table9!C39)*100</f>
        <v>0.9894893663041273</v>
      </c>
      <c r="I39" s="35">
        <f>(+D39/table9!C39)*100</f>
        <v>0.2516409683897924</v>
      </c>
      <c r="J39" s="35">
        <f>(E39/table9!C39)*100</f>
        <v>0.06413087298957106</v>
      </c>
    </row>
  </sheetData>
  <sheetProtection password="CAF5" sheet="1"/>
  <mergeCells count="5">
    <mergeCell ref="A1:J1"/>
    <mergeCell ref="A3:J3"/>
    <mergeCell ref="A4:J4"/>
    <mergeCell ref="B6:E6"/>
    <mergeCell ref="G6:J6"/>
  </mergeCells>
  <printOptions/>
  <pageMargins left="0.7" right="0.7" top="0.72" bottom="0.75" header="0.48" footer="0.3"/>
  <pageSetup horizontalDpi="600" verticalDpi="600" orientation="landscape" r:id="rId1"/>
  <headerFooter>
    <oddFooter>&amp;L&amp;"Arial,Italic"&amp;9MSDE - DBS     10 / 009&amp;C&amp;9- 21 -&amp;R&amp;"Arial,Italic"&amp;9Selected Financial Data 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Layout" workbookViewId="0" topLeftCell="A4">
      <selection activeCell="D25" sqref="D25"/>
    </sheetView>
  </sheetViews>
  <sheetFormatPr defaultColWidth="9.140625" defaultRowHeight="12.75"/>
  <cols>
    <col min="1" max="1" width="14.140625" style="113" customWidth="1"/>
    <col min="2" max="3" width="17.7109375" style="113" bestFit="1" customWidth="1"/>
    <col min="4" max="4" width="15.00390625" style="113" bestFit="1" customWidth="1"/>
    <col min="5" max="5" width="17.7109375" style="113" bestFit="1" customWidth="1"/>
    <col min="6" max="7" width="16.00390625" style="113" bestFit="1" customWidth="1"/>
    <col min="8" max="8" width="2.7109375" style="113" customWidth="1"/>
    <col min="9" max="12" width="9.140625" style="113" customWidth="1"/>
    <col min="15" max="15" width="15.00390625" style="0" bestFit="1" customWidth="1"/>
  </cols>
  <sheetData>
    <row r="1" spans="1:12" ht="12.75">
      <c r="A1" s="374" t="s">
        <v>117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3" spans="1:12" ht="12.75">
      <c r="A3" s="374" t="s">
        <v>254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2.75">
      <c r="A4" s="374" t="s">
        <v>142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ht="13.5" thickBot="1">
      <c r="A5" s="23"/>
      <c r="B5" s="23"/>
      <c r="C5" s="23"/>
      <c r="D5" s="23"/>
      <c r="E5" s="23"/>
      <c r="F5" s="23"/>
      <c r="G5" s="23"/>
      <c r="H5" s="23"/>
      <c r="I5" s="50"/>
      <c r="J5" s="23"/>
      <c r="K5" s="23"/>
      <c r="L5" s="23"/>
    </row>
    <row r="6" spans="1:57" ht="15" customHeight="1" thickTop="1">
      <c r="A6" s="147" t="s">
        <v>83</v>
      </c>
      <c r="B6" s="148" t="s">
        <v>45</v>
      </c>
      <c r="C6" s="372" t="s">
        <v>86</v>
      </c>
      <c r="D6" s="372"/>
      <c r="E6" s="373"/>
      <c r="F6" s="373"/>
      <c r="G6" s="147"/>
      <c r="H6" s="147"/>
      <c r="I6" s="372" t="s">
        <v>88</v>
      </c>
      <c r="J6" s="372"/>
      <c r="K6" s="372"/>
      <c r="L6" s="37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12" ht="12.75">
      <c r="A7" s="32" t="s">
        <v>35</v>
      </c>
      <c r="B7" s="149" t="s">
        <v>89</v>
      </c>
      <c r="C7" s="371" t="s">
        <v>83</v>
      </c>
      <c r="D7" s="371"/>
      <c r="E7" s="150"/>
      <c r="F7" s="150"/>
      <c r="G7" s="149" t="s">
        <v>85</v>
      </c>
      <c r="H7" s="149"/>
      <c r="I7" s="151"/>
      <c r="J7" s="151"/>
      <c r="K7" s="151"/>
      <c r="L7" s="151" t="s">
        <v>85</v>
      </c>
    </row>
    <row r="8" spans="1:15" ht="13.5" thickBot="1">
      <c r="A8" s="55" t="s">
        <v>141</v>
      </c>
      <c r="B8" s="152" t="s">
        <v>90</v>
      </c>
      <c r="C8" s="52" t="s">
        <v>234</v>
      </c>
      <c r="D8" s="52" t="s">
        <v>241</v>
      </c>
      <c r="E8" s="52" t="s">
        <v>46</v>
      </c>
      <c r="F8" s="52" t="s">
        <v>53</v>
      </c>
      <c r="G8" s="52" t="s">
        <v>87</v>
      </c>
      <c r="H8" s="52"/>
      <c r="I8" s="152" t="s">
        <v>83</v>
      </c>
      <c r="J8" s="152" t="s">
        <v>46</v>
      </c>
      <c r="K8" s="153" t="s">
        <v>53</v>
      </c>
      <c r="L8" s="52" t="s">
        <v>87</v>
      </c>
      <c r="O8" s="3"/>
    </row>
    <row r="9" spans="1:15" ht="12.75">
      <c r="A9" s="32" t="s">
        <v>0</v>
      </c>
      <c r="B9" s="166">
        <f aca="true" t="shared" si="0" ref="B9:G9">SUM(B11:B38)</f>
        <v>10503895055.890001</v>
      </c>
      <c r="C9" s="166">
        <f t="shared" si="0"/>
        <v>5126429333.67</v>
      </c>
      <c r="D9" s="166">
        <f t="shared" si="0"/>
        <v>100128427.36</v>
      </c>
      <c r="E9" s="166">
        <f t="shared" si="0"/>
        <v>4556157113.179999</v>
      </c>
      <c r="F9" s="166">
        <f t="shared" si="0"/>
        <v>701587012.8600001</v>
      </c>
      <c r="G9" s="166">
        <f t="shared" si="0"/>
        <v>19593168.82</v>
      </c>
      <c r="H9" s="154"/>
      <c r="I9" s="155">
        <f>IF(B9&lt;&gt;0,((+C9+D9)/B9),(IF(C9&lt;&gt;0,1,0)))</f>
        <v>0.49758282363067174</v>
      </c>
      <c r="J9" s="155">
        <f>IF($B9&lt;&gt;0,(E9/$B9),(IF(E9&lt;&gt;0,1,0)))</f>
        <v>0.43375881888929946</v>
      </c>
      <c r="K9" s="155">
        <f>IF($B9&lt;&gt;0,(F9/$B9),(IF(F9&lt;&gt;0,1,0)))</f>
        <v>0.06679303335828637</v>
      </c>
      <c r="L9" s="155">
        <f>IF($B9&lt;&gt;0,(G9/$B9),(IF(G9&lt;&gt;0,1,0)))</f>
        <v>0.0018653241217421758</v>
      </c>
      <c r="O9" s="20"/>
    </row>
    <row r="10" spans="1:15" ht="12.75">
      <c r="A10" s="32"/>
      <c r="B10" s="156"/>
      <c r="C10" s="157"/>
      <c r="D10" s="53"/>
      <c r="E10" s="151"/>
      <c r="F10" s="151"/>
      <c r="G10" s="151"/>
      <c r="H10" s="151"/>
      <c r="I10" s="158"/>
      <c r="J10" s="158"/>
      <c r="K10" s="158"/>
      <c r="L10" s="158"/>
      <c r="O10" s="3"/>
    </row>
    <row r="11" spans="1:15" ht="12.75">
      <c r="A11" s="23" t="s">
        <v>1</v>
      </c>
      <c r="B11" s="167">
        <f aca="true" t="shared" si="1" ref="B11:B38">SUM(C11:G11)</f>
        <v>123288079.86</v>
      </c>
      <c r="C11" s="208">
        <f>'table 2a'!C11</f>
        <v>28389000</v>
      </c>
      <c r="D11" s="208">
        <f>'table 2a'!D11</f>
        <v>1026073.59</v>
      </c>
      <c r="E11" s="208">
        <f>state1!C12-state1!H12</f>
        <v>82389057.33</v>
      </c>
      <c r="F11" s="248">
        <f>fed1!B12-'table 6'!I12</f>
        <v>10960204.429999998</v>
      </c>
      <c r="G11" s="208">
        <f>'table 2a'!G11</f>
        <v>523744.51</v>
      </c>
      <c r="H11" s="135"/>
      <c r="I11" s="137">
        <f aca="true" t="shared" si="2" ref="I11:I38">IF(B11&lt;&gt;0,((+C11+D11)/B11*100),(IF(C11&lt;&gt;0,1,0)))</f>
        <v>23.858813944869887</v>
      </c>
      <c r="J11" s="137">
        <f>IF($B11&lt;&gt;0,(E11/$B11*100),(IF(E11&lt;&gt;0,1,0)))</f>
        <v>66.82645834338327</v>
      </c>
      <c r="K11" s="137">
        <f aca="true" t="shared" si="3" ref="K11:L15">IF($B11&lt;&gt;0,(F11/$B11*100),(IF(F11&lt;&gt;0,1,0)))</f>
        <v>8.889914128313036</v>
      </c>
      <c r="L11" s="137">
        <f t="shared" si="3"/>
        <v>0.42481358343380726</v>
      </c>
      <c r="M11" s="18"/>
      <c r="O11" s="20"/>
    </row>
    <row r="12" spans="1:15" ht="12.75">
      <c r="A12" s="113" t="s">
        <v>2</v>
      </c>
      <c r="B12" s="139">
        <f t="shared" si="1"/>
        <v>830889331.0600001</v>
      </c>
      <c r="C12" s="208">
        <f>'table 2a'!C12</f>
        <v>514347400</v>
      </c>
      <c r="D12" s="208">
        <f>'table 2a'!D12</f>
        <v>5267542.79</v>
      </c>
      <c r="E12" s="208">
        <f>state1!C13-state1!H13</f>
        <v>264806056.86</v>
      </c>
      <c r="F12" s="248">
        <f>fed1!B13-'table 6'!I13</f>
        <v>45951599.41</v>
      </c>
      <c r="G12" s="208">
        <f>'table 2a'!G12</f>
        <v>516732</v>
      </c>
      <c r="H12" s="138"/>
      <c r="I12" s="137">
        <f t="shared" si="2"/>
        <v>62.53720241263727</v>
      </c>
      <c r="J12" s="137">
        <f>IF($B12&lt;&gt;0,(E12/$B12*100),(IF(E12&lt;&gt;0,1,0)))</f>
        <v>31.870195820444092</v>
      </c>
      <c r="K12" s="137">
        <f t="shared" si="3"/>
        <v>5.530411535237506</v>
      </c>
      <c r="L12" s="137">
        <f t="shared" si="3"/>
        <v>0.06219023168112936</v>
      </c>
      <c r="O12" s="20"/>
    </row>
    <row r="13" spans="1:15" ht="12.75">
      <c r="A13" s="113" t="s">
        <v>3</v>
      </c>
      <c r="B13" s="139">
        <f t="shared" si="1"/>
        <v>1200572657.1799998</v>
      </c>
      <c r="C13" s="208">
        <f>'table 2a'!C13</f>
        <v>200396167.86</v>
      </c>
      <c r="D13" s="208">
        <f>'table 2a'!D13</f>
        <v>12278513.050000003</v>
      </c>
      <c r="E13" s="208">
        <f>state1!C14-state1!H14</f>
        <v>825121964.84</v>
      </c>
      <c r="F13" s="248">
        <f>fed1!B14-'table 6'!I14</f>
        <v>162776011.42999995</v>
      </c>
      <c r="G13" s="208">
        <f>'table 2a'!G13</f>
        <v>0</v>
      </c>
      <c r="H13" s="138"/>
      <c r="I13" s="137">
        <f>IF(B13&lt;&gt;0,((+C13+D13)/B13*100),(IF(C13&lt;&gt;0,1,0)))</f>
        <v>17.714436493127135</v>
      </c>
      <c r="J13" s="137">
        <f>IF($B13&lt;&gt;0,(E13/$B13*100),(IF(E13&lt;&gt;0,1,0)))</f>
        <v>68.72736605363909</v>
      </c>
      <c r="K13" s="137">
        <f t="shared" si="3"/>
        <v>13.558197453233786</v>
      </c>
      <c r="L13" s="137">
        <f t="shared" si="3"/>
        <v>0</v>
      </c>
      <c r="O13" s="20"/>
    </row>
    <row r="14" spans="1:15" ht="12.75">
      <c r="A14" s="113" t="s">
        <v>4</v>
      </c>
      <c r="B14" s="139">
        <f t="shared" si="1"/>
        <v>1220564275.4099998</v>
      </c>
      <c r="C14" s="208">
        <f>'table 2a'!C14</f>
        <v>617864727</v>
      </c>
      <c r="D14" s="208">
        <f>'table 2a'!D14</f>
        <v>4005081.92</v>
      </c>
      <c r="E14" s="208">
        <f>state1!C15-state1!H15</f>
        <v>510075531.20000005</v>
      </c>
      <c r="F14" s="248">
        <f>fed1!B15-'table 6'!I15</f>
        <v>81476794.28999999</v>
      </c>
      <c r="G14" s="208">
        <f>'table 2a'!G14</f>
        <v>7142141</v>
      </c>
      <c r="H14" s="138"/>
      <c r="I14" s="137">
        <f t="shared" si="2"/>
        <v>50.94937001257944</v>
      </c>
      <c r="J14" s="137">
        <f>IF($B14&lt;&gt;0,(E14/$B14*100),(IF(E14&lt;&gt;0,1,0)))</f>
        <v>41.79014095989829</v>
      </c>
      <c r="K14" s="137">
        <f t="shared" si="3"/>
        <v>6.675338278488539</v>
      </c>
      <c r="L14" s="137">
        <f t="shared" si="3"/>
        <v>0.5851507490337519</v>
      </c>
      <c r="O14" s="20"/>
    </row>
    <row r="15" spans="1:15" ht="12.75">
      <c r="A15" s="113" t="s">
        <v>5</v>
      </c>
      <c r="B15" s="139">
        <f t="shared" si="1"/>
        <v>189818270.24999997</v>
      </c>
      <c r="C15" s="208">
        <f>'table 2a'!C15</f>
        <v>95358284</v>
      </c>
      <c r="D15" s="208">
        <f>'table 2a'!D15</f>
        <v>2870945.36</v>
      </c>
      <c r="E15" s="208">
        <f>state1!C16-state1!H16</f>
        <v>83649233.65999998</v>
      </c>
      <c r="F15" s="248">
        <f>fed1!B16-'table 6'!I16</f>
        <v>7939807.23</v>
      </c>
      <c r="G15" s="208">
        <f>'table 2a'!G15</f>
        <v>0</v>
      </c>
      <c r="H15" s="138"/>
      <c r="I15" s="137">
        <f t="shared" si="2"/>
        <v>51.74909097560908</v>
      </c>
      <c r="J15" s="137">
        <f>IF($B15&lt;&gt;0,(E15/$B15*100),(IF(E15&lt;&gt;0,1,0)))</f>
        <v>44.06806233658638</v>
      </c>
      <c r="K15" s="137">
        <f t="shared" si="3"/>
        <v>4.182846687804543</v>
      </c>
      <c r="L15" s="137">
        <f t="shared" si="3"/>
        <v>0</v>
      </c>
      <c r="O15" s="20"/>
    </row>
    <row r="16" spans="2:15" ht="12.75">
      <c r="B16" s="139"/>
      <c r="C16" s="208"/>
      <c r="D16" s="208"/>
      <c r="E16" s="208"/>
      <c r="F16" s="248"/>
      <c r="G16" s="208"/>
      <c r="H16" s="138"/>
      <c r="I16" s="137"/>
      <c r="J16" s="137"/>
      <c r="K16" s="137"/>
      <c r="L16" s="137"/>
      <c r="O16" s="3"/>
    </row>
    <row r="17" spans="1:15" ht="12.75">
      <c r="A17" s="113" t="s">
        <v>6</v>
      </c>
      <c r="B17" s="139">
        <f t="shared" si="1"/>
        <v>60327517.61</v>
      </c>
      <c r="C17" s="208">
        <f>'table 2a'!C17</f>
        <v>12250000</v>
      </c>
      <c r="D17" s="208">
        <f>'table 2a'!D17</f>
        <v>728935.39</v>
      </c>
      <c r="E17" s="208">
        <f>state1!C18-state1!H18</f>
        <v>41853212.01</v>
      </c>
      <c r="F17" s="248">
        <f>fed1!B18-'table 6'!I18</f>
        <v>5495370.21</v>
      </c>
      <c r="G17" s="208">
        <f>'table 2a'!G17</f>
        <v>0</v>
      </c>
      <c r="H17" s="138"/>
      <c r="I17" s="137">
        <f t="shared" si="2"/>
        <v>21.514121422839033</v>
      </c>
      <c r="J17" s="137">
        <f>IF($B17&lt;&gt;0,(E17/$B17*100),(IF(E17&lt;&gt;0,1,0)))</f>
        <v>69.37665209526594</v>
      </c>
      <c r="K17" s="137">
        <f aca="true" t="shared" si="4" ref="K17:L21">IF($B17&lt;&gt;0,(F17/$B17*100),(IF(F17&lt;&gt;0,1,0)))</f>
        <v>9.109226481895018</v>
      </c>
      <c r="L17" s="137">
        <f t="shared" si="4"/>
        <v>0</v>
      </c>
      <c r="O17" s="20"/>
    </row>
    <row r="18" spans="1:15" ht="12.75">
      <c r="A18" s="113" t="s">
        <v>7</v>
      </c>
      <c r="B18" s="139">
        <f t="shared" si="1"/>
        <v>307048230.22</v>
      </c>
      <c r="C18" s="208">
        <f>'table 2a'!C18</f>
        <v>151107358</v>
      </c>
      <c r="D18" s="208">
        <f>'table 2a'!D18</f>
        <v>1914933.05</v>
      </c>
      <c r="E18" s="208">
        <f>state1!C19-state1!H19</f>
        <v>140494131.89000002</v>
      </c>
      <c r="F18" s="248">
        <f>fed1!B19-'table 6'!I19</f>
        <v>12268212.39</v>
      </c>
      <c r="G18" s="208">
        <f>'table 2a'!G18</f>
        <v>1263594.89</v>
      </c>
      <c r="H18" s="138"/>
      <c r="I18" s="137">
        <f t="shared" si="2"/>
        <v>49.83656507004113</v>
      </c>
      <c r="J18" s="137">
        <f>IF($B18&lt;&gt;0,(E18/$B18*100),(IF(E18&lt;&gt;0,1,0)))</f>
        <v>45.7563724726034</v>
      </c>
      <c r="K18" s="137">
        <f t="shared" si="4"/>
        <v>3.995532682670025</v>
      </c>
      <c r="L18" s="137">
        <f t="shared" si="4"/>
        <v>0.41152977468544083</v>
      </c>
      <c r="O18" s="20"/>
    </row>
    <row r="19" spans="1:15" ht="12.75">
      <c r="A19" s="113" t="s">
        <v>8</v>
      </c>
      <c r="B19" s="139">
        <f t="shared" si="1"/>
        <v>174130807.11</v>
      </c>
      <c r="C19" s="208">
        <f>'table 2a'!C19</f>
        <v>64435162</v>
      </c>
      <c r="D19" s="208">
        <f>'table 2a'!D19</f>
        <v>2423611.28</v>
      </c>
      <c r="E19" s="208">
        <f>state1!C20-state1!H20</f>
        <v>97230357.77999999</v>
      </c>
      <c r="F19" s="248">
        <f>fed1!B20-'table 6'!I20</f>
        <v>10041676.049999999</v>
      </c>
      <c r="G19" s="208">
        <f>'table 2a'!G19</f>
        <v>0</v>
      </c>
      <c r="H19" s="138"/>
      <c r="I19" s="137">
        <f>IF(B19&lt;&gt;0,((+C19+D19)/B19*100),(IF(C19&lt;&gt;0,1,0)))</f>
        <v>38.39571778804466</v>
      </c>
      <c r="J19" s="137">
        <f>IF($B19&lt;&gt;0,(E19/$B19*100),(IF(E19&lt;&gt;0,1,0)))</f>
        <v>55.837539257817085</v>
      </c>
      <c r="K19" s="137">
        <f t="shared" si="4"/>
        <v>5.7667429541382536</v>
      </c>
      <c r="L19" s="137">
        <f t="shared" si="4"/>
        <v>0</v>
      </c>
      <c r="O19" s="20"/>
    </row>
    <row r="20" spans="1:15" ht="12.75">
      <c r="A20" s="113" t="s">
        <v>9</v>
      </c>
      <c r="B20" s="139">
        <f t="shared" si="1"/>
        <v>299095092.52000004</v>
      </c>
      <c r="C20" s="208">
        <f>'table 2a'!C20</f>
        <v>135856000</v>
      </c>
      <c r="D20" s="208">
        <f>'table 2a'!D20</f>
        <v>3537708.24</v>
      </c>
      <c r="E20" s="208">
        <f>state1!C21-state1!H21</f>
        <v>145102429.24</v>
      </c>
      <c r="F20" s="248">
        <f>fed1!B21-'table 6'!I21</f>
        <v>14598955.040000001</v>
      </c>
      <c r="G20" s="208">
        <f>'table 2a'!G20</f>
        <v>0</v>
      </c>
      <c r="H20" s="138"/>
      <c r="I20" s="137">
        <f t="shared" si="2"/>
        <v>46.60514723446322</v>
      </c>
      <c r="J20" s="137">
        <f>IF($B20&lt;&gt;0,(E20/$B20*100),(IF(E20&lt;&gt;0,1,0)))</f>
        <v>48.51381144954668</v>
      </c>
      <c r="K20" s="137">
        <f t="shared" si="4"/>
        <v>4.881041315990094</v>
      </c>
      <c r="L20" s="137">
        <f t="shared" si="4"/>
        <v>0</v>
      </c>
      <c r="O20" s="20"/>
    </row>
    <row r="21" spans="1:15" ht="12.75">
      <c r="A21" s="113" t="s">
        <v>10</v>
      </c>
      <c r="B21" s="139">
        <f t="shared" si="1"/>
        <v>54438145.12</v>
      </c>
      <c r="C21" s="208">
        <f>'table 2a'!C21</f>
        <v>16669686</v>
      </c>
      <c r="D21" s="208">
        <f>'table 2a'!D21</f>
        <v>1062788.29</v>
      </c>
      <c r="E21" s="208">
        <f>state1!C22-state1!H22</f>
        <v>30143851.27</v>
      </c>
      <c r="F21" s="248">
        <f>fed1!B22-'table 6'!I22</f>
        <v>6407630.549999999</v>
      </c>
      <c r="G21" s="208">
        <f>'table 2a'!G21</f>
        <v>154189.01</v>
      </c>
      <c r="H21" s="138"/>
      <c r="I21" s="137">
        <f t="shared" si="2"/>
        <v>32.57361956567708</v>
      </c>
      <c r="J21" s="137">
        <f>IF($B21&lt;&gt;0,(E21/$B21*100),(IF(E21&lt;&gt;0,1,0)))</f>
        <v>55.37266415590172</v>
      </c>
      <c r="K21" s="137">
        <f t="shared" si="4"/>
        <v>11.770479203278187</v>
      </c>
      <c r="L21" s="137">
        <f t="shared" si="4"/>
        <v>0.28323707514301877</v>
      </c>
      <c r="O21" s="20"/>
    </row>
    <row r="22" spans="2:15" ht="12.75">
      <c r="B22" s="139"/>
      <c r="C22" s="208"/>
      <c r="D22" s="208"/>
      <c r="E22" s="208"/>
      <c r="F22" s="248"/>
      <c r="G22" s="208"/>
      <c r="H22" s="138"/>
      <c r="I22" s="137"/>
      <c r="J22" s="137"/>
      <c r="K22" s="137"/>
      <c r="L22" s="137"/>
      <c r="O22" s="3"/>
    </row>
    <row r="23" spans="1:15" ht="12.75">
      <c r="A23" s="113" t="s">
        <v>11</v>
      </c>
      <c r="B23" s="139">
        <f t="shared" si="1"/>
        <v>447860784.79999995</v>
      </c>
      <c r="C23" s="208">
        <f>'table 2a'!C23</f>
        <v>228388007.23</v>
      </c>
      <c r="D23" s="208">
        <f>'table 2a'!D23</f>
        <v>4357386.75</v>
      </c>
      <c r="E23" s="208">
        <f>state1!C24-state1!H24</f>
        <v>197563053.67</v>
      </c>
      <c r="F23" s="248">
        <f>fed1!B24-'table 6'!I24</f>
        <v>17552337.15</v>
      </c>
      <c r="G23" s="208">
        <f>'table 2a'!G23</f>
        <v>0</v>
      </c>
      <c r="H23" s="138"/>
      <c r="I23" s="137">
        <f t="shared" si="2"/>
        <v>51.96824591015186</v>
      </c>
      <c r="J23" s="137">
        <f>IF($B23&lt;&gt;0,(E23/$B23*100),(IF(E23&lt;&gt;0,1,0)))</f>
        <v>44.11260382134712</v>
      </c>
      <c r="K23" s="137">
        <f aca="true" t="shared" si="5" ref="K23:L27">IF($B23&lt;&gt;0,(F23/$B23*100),(IF(F23&lt;&gt;0,1,0)))</f>
        <v>3.919150268501025</v>
      </c>
      <c r="L23" s="137">
        <f t="shared" si="5"/>
        <v>0</v>
      </c>
      <c r="O23" s="20"/>
    </row>
    <row r="24" spans="1:15" ht="12.75">
      <c r="A24" s="113" t="s">
        <v>12</v>
      </c>
      <c r="B24" s="139">
        <f t="shared" si="1"/>
        <v>52637816.49999999</v>
      </c>
      <c r="C24" s="208">
        <f>'table 2a'!C24</f>
        <v>21900167.98</v>
      </c>
      <c r="D24" s="208">
        <f>'table 2a'!D24</f>
        <v>380351.97</v>
      </c>
      <c r="E24" s="208">
        <f>state1!C25-state1!H25</f>
        <v>25348576.32</v>
      </c>
      <c r="F24" s="248">
        <f>fed1!B25-'table 6'!I25</f>
        <v>5003588.5</v>
      </c>
      <c r="G24" s="208">
        <f>'table 2a'!G24</f>
        <v>5131.73</v>
      </c>
      <c r="H24" s="138"/>
      <c r="I24" s="137">
        <f t="shared" si="2"/>
        <v>42.327971468953315</v>
      </c>
      <c r="J24" s="137">
        <f>IF($B24&lt;&gt;0,(E24/$B24*100),(IF(E24&lt;&gt;0,1,0)))</f>
        <v>48.15658780223151</v>
      </c>
      <c r="K24" s="137">
        <f t="shared" si="5"/>
        <v>9.505691597218895</v>
      </c>
      <c r="L24" s="137">
        <f t="shared" si="5"/>
        <v>0.009749131596292563</v>
      </c>
      <c r="O24" s="20"/>
    </row>
    <row r="25" spans="1:15" ht="12.75">
      <c r="A25" s="113" t="s">
        <v>13</v>
      </c>
      <c r="B25" s="139">
        <f t="shared" si="1"/>
        <v>434830263.14</v>
      </c>
      <c r="C25" s="208">
        <f>'table 2a'!C25</f>
        <v>199614800</v>
      </c>
      <c r="D25" s="208">
        <f>'table 2a'!D25</f>
        <v>3244477.42</v>
      </c>
      <c r="E25" s="208">
        <f>state1!C26-state1!H26</f>
        <v>208006275.2</v>
      </c>
      <c r="F25" s="248">
        <f>fed1!B26-'table 6'!I26</f>
        <v>21136237.69</v>
      </c>
      <c r="G25" s="208">
        <f>'table 2a'!G25</f>
        <v>2828472.83</v>
      </c>
      <c r="H25" s="138"/>
      <c r="I25" s="137">
        <f>IF(B25&lt;&gt;0,((+C25+D25)/B25*100),(IF(C25&lt;&gt;0,1,0)))</f>
        <v>46.65252044673957</v>
      </c>
      <c r="J25" s="137">
        <f>IF($B25&lt;&gt;0,(E25/$B25*100),(IF(E25&lt;&gt;0,1,0)))</f>
        <v>47.836200198657586</v>
      </c>
      <c r="K25" s="137">
        <f t="shared" si="5"/>
        <v>4.860801899428716</v>
      </c>
      <c r="L25" s="137">
        <f t="shared" si="5"/>
        <v>0.6504774551741197</v>
      </c>
      <c r="O25" s="20"/>
    </row>
    <row r="26" spans="1:15" ht="12.75">
      <c r="A26" s="113" t="s">
        <v>14</v>
      </c>
      <c r="B26" s="139">
        <f t="shared" si="1"/>
        <v>637614425.91</v>
      </c>
      <c r="C26" s="208">
        <f>'table 2a'!C26</f>
        <v>427176316</v>
      </c>
      <c r="D26" s="208">
        <f>'table 2a'!D26</f>
        <v>7326164</v>
      </c>
      <c r="E26" s="208">
        <f>state1!C27-state1!H27</f>
        <v>183097935.74</v>
      </c>
      <c r="F26" s="248">
        <f>fed1!B27-'table 6'!I27</f>
        <v>20014010.17</v>
      </c>
      <c r="G26" s="208">
        <f>'table 2a'!G26</f>
        <v>0</v>
      </c>
      <c r="H26" s="138"/>
      <c r="I26" s="137">
        <f t="shared" si="2"/>
        <v>68.14502030437602</v>
      </c>
      <c r="J26" s="137">
        <f>IF($B26&lt;&gt;0,(E26/$B26*100),(IF(E26&lt;&gt;0,1,0)))</f>
        <v>28.71609052425117</v>
      </c>
      <c r="K26" s="137">
        <f t="shared" si="5"/>
        <v>3.1388891713728264</v>
      </c>
      <c r="L26" s="137">
        <f t="shared" si="5"/>
        <v>0</v>
      </c>
      <c r="O26" s="20"/>
    </row>
    <row r="27" spans="1:15" ht="12.75">
      <c r="A27" s="113" t="s">
        <v>15</v>
      </c>
      <c r="B27" s="139">
        <f t="shared" si="1"/>
        <v>29517946.009999998</v>
      </c>
      <c r="C27" s="208">
        <f>'table 2a'!C27</f>
        <v>16217000</v>
      </c>
      <c r="D27" s="208">
        <f>'table 2a'!D27</f>
        <v>254489</v>
      </c>
      <c r="E27" s="208">
        <f>state1!C28-state1!H28</f>
        <v>10199747.84</v>
      </c>
      <c r="F27" s="248">
        <f>fed1!B28-'table 6'!I28</f>
        <v>2846709.17</v>
      </c>
      <c r="G27" s="208">
        <f>'table 2a'!G27</f>
        <v>0</v>
      </c>
      <c r="H27" s="138"/>
      <c r="I27" s="137">
        <f t="shared" si="2"/>
        <v>55.801609618839464</v>
      </c>
      <c r="J27" s="137">
        <f>IF($B27&lt;&gt;0,(E27/$B27*100),(IF(E27&lt;&gt;0,1,0)))</f>
        <v>34.55439560918148</v>
      </c>
      <c r="K27" s="137">
        <f t="shared" si="5"/>
        <v>9.643994771979056</v>
      </c>
      <c r="L27" s="137">
        <f t="shared" si="5"/>
        <v>0</v>
      </c>
      <c r="O27" s="20"/>
    </row>
    <row r="28" spans="2:15" ht="12.75">
      <c r="B28" s="139"/>
      <c r="C28" s="208"/>
      <c r="D28" s="208"/>
      <c r="E28" s="208"/>
      <c r="F28" s="248"/>
      <c r="G28" s="208"/>
      <c r="H28" s="138"/>
      <c r="I28" s="137"/>
      <c r="J28" s="137"/>
      <c r="K28" s="137"/>
      <c r="L28" s="137"/>
      <c r="O28" s="3"/>
    </row>
    <row r="29" spans="1:15" ht="12.75">
      <c r="A29" s="113" t="s">
        <v>16</v>
      </c>
      <c r="B29" s="139">
        <f t="shared" si="1"/>
        <v>1955328396.95</v>
      </c>
      <c r="C29" s="208">
        <f>'table 2a'!C29</f>
        <v>1449834862</v>
      </c>
      <c r="D29" s="208">
        <f>'table 2a'!D29</f>
        <v>14997955.52</v>
      </c>
      <c r="E29" s="208">
        <f>state1!C30-state1!H30</f>
        <v>396447633.67</v>
      </c>
      <c r="F29" s="248">
        <f>fed1!B30-'table 6'!I30</f>
        <v>93751898.21000001</v>
      </c>
      <c r="G29" s="208">
        <f>'table 2a'!G29</f>
        <v>296047.55</v>
      </c>
      <c r="H29" s="138"/>
      <c r="I29" s="137">
        <f t="shared" si="2"/>
        <v>74.91492578969881</v>
      </c>
      <c r="J29" s="137">
        <f>IF($B29&lt;&gt;0,(E29/$B29*100),(IF(E29&lt;&gt;0,1,0)))</f>
        <v>20.2752455438378</v>
      </c>
      <c r="K29" s="137">
        <f aca="true" t="shared" si="6" ref="K29:L33">IF($B29&lt;&gt;0,(F29/$B29*100),(IF(F29&lt;&gt;0,1,0)))</f>
        <v>4.794688112556336</v>
      </c>
      <c r="L29" s="137">
        <f t="shared" si="6"/>
        <v>0.01514055390704635</v>
      </c>
      <c r="O29" s="20"/>
    </row>
    <row r="30" spans="1:15" ht="12.75">
      <c r="A30" s="113" t="s">
        <v>17</v>
      </c>
      <c r="B30" s="139">
        <f t="shared" si="1"/>
        <v>1634798200.28</v>
      </c>
      <c r="C30" s="208">
        <f>'table 2a'!C30</f>
        <v>584463226.18</v>
      </c>
      <c r="D30" s="208">
        <f>'table 2a'!D30</f>
        <v>26924366.250000004</v>
      </c>
      <c r="E30" s="208">
        <f>state1!C31-state1!H31</f>
        <v>905639257.87</v>
      </c>
      <c r="F30" s="248">
        <f>fed1!B31-'table 6'!I31</f>
        <v>117771349.97999997</v>
      </c>
      <c r="G30" s="208">
        <f>'table 2a'!G30</f>
        <v>0</v>
      </c>
      <c r="H30" s="138"/>
      <c r="I30" s="137">
        <f t="shared" si="2"/>
        <v>37.398352428164195</v>
      </c>
      <c r="J30" s="137">
        <f>IF($B30&lt;&gt;0,(E30/$B30*100),(IF(E30&lt;&gt;0,1,0)))</f>
        <v>55.39761774357756</v>
      </c>
      <c r="K30" s="137">
        <f t="shared" si="6"/>
        <v>7.204029828258234</v>
      </c>
      <c r="L30" s="137">
        <f t="shared" si="6"/>
        <v>0</v>
      </c>
      <c r="O30" s="20"/>
    </row>
    <row r="31" spans="1:15" ht="12.75">
      <c r="A31" s="113" t="s">
        <v>18</v>
      </c>
      <c r="B31" s="139">
        <f t="shared" si="1"/>
        <v>79275049.08</v>
      </c>
      <c r="C31" s="208">
        <f>'table 2a'!C31</f>
        <v>43940413</v>
      </c>
      <c r="D31" s="208">
        <f>'table 2a'!D31</f>
        <v>568951.39</v>
      </c>
      <c r="E31" s="208">
        <f>state1!C32-state1!H32</f>
        <v>30010141.22</v>
      </c>
      <c r="F31" s="248">
        <f>fed1!B32-'table 6'!I32</f>
        <v>4755543.47</v>
      </c>
      <c r="G31" s="208">
        <f>'table 2a'!G31</f>
        <v>0</v>
      </c>
      <c r="H31" s="138"/>
      <c r="I31" s="137">
        <f>IF(B31&lt;&gt;0,((+C31+D31)/B31*100),(IF(C31&lt;&gt;0,1,0)))</f>
        <v>56.14548954120938</v>
      </c>
      <c r="J31" s="137">
        <f>IF($B31&lt;&gt;0,(E31/$B31*100),(IF(E31&lt;&gt;0,1,0)))</f>
        <v>37.855720769993376</v>
      </c>
      <c r="K31" s="137">
        <f t="shared" si="6"/>
        <v>5.998789688797251</v>
      </c>
      <c r="L31" s="137">
        <f t="shared" si="6"/>
        <v>0</v>
      </c>
      <c r="O31" s="20"/>
    </row>
    <row r="32" spans="1:15" ht="12.75">
      <c r="A32" s="113" t="s">
        <v>19</v>
      </c>
      <c r="B32" s="139">
        <f t="shared" si="1"/>
        <v>184805371.82999998</v>
      </c>
      <c r="C32" s="208">
        <f>'table 2a'!C32</f>
        <v>76000000</v>
      </c>
      <c r="D32" s="208">
        <f>'table 2a'!D32</f>
        <v>1796999.08</v>
      </c>
      <c r="E32" s="208">
        <f>state1!C33-state1!H33</f>
        <v>89118616.46999998</v>
      </c>
      <c r="F32" s="248">
        <f>fed1!B33-'table 6'!I33</f>
        <v>12760059.479999999</v>
      </c>
      <c r="G32" s="208">
        <f>'table 2a'!G32</f>
        <v>5129696.8</v>
      </c>
      <c r="H32" s="138"/>
      <c r="I32" s="137">
        <f t="shared" si="2"/>
        <v>42.09671954317671</v>
      </c>
      <c r="J32" s="137">
        <f>IF($B32&lt;&gt;0,(E32/$B32*100),(IF(E32&lt;&gt;0,1,0)))</f>
        <v>48.22295780015476</v>
      </c>
      <c r="K32" s="137">
        <f t="shared" si="6"/>
        <v>6.904593385812295</v>
      </c>
      <c r="L32" s="137">
        <f t="shared" si="6"/>
        <v>2.7757292708562282</v>
      </c>
      <c r="O32" s="20"/>
    </row>
    <row r="33" spans="1:15" ht="12.75">
      <c r="A33" s="113" t="s">
        <v>20</v>
      </c>
      <c r="B33" s="139">
        <f t="shared" si="1"/>
        <v>38847424.230000004</v>
      </c>
      <c r="C33" s="208">
        <f>'table 2a'!C33</f>
        <v>8792192.34</v>
      </c>
      <c r="D33" s="208">
        <f>'table 2a'!D33</f>
        <v>422851.28</v>
      </c>
      <c r="E33" s="208">
        <f>state1!C34-state1!H34</f>
        <v>23711165.270000003</v>
      </c>
      <c r="F33" s="248">
        <f>fed1!B34-'table 6'!I34</f>
        <v>5921215.34</v>
      </c>
      <c r="G33" s="208">
        <f>'table 2a'!G33</f>
        <v>0</v>
      </c>
      <c r="H33" s="138"/>
      <c r="I33" s="137">
        <f t="shared" si="2"/>
        <v>23.721118716755647</v>
      </c>
      <c r="J33" s="137">
        <f>IF($B33&lt;&gt;0,(E33/$B33*100),(IF(E33&lt;&gt;0,1,0)))</f>
        <v>61.03664719085546</v>
      </c>
      <c r="K33" s="137">
        <f t="shared" si="6"/>
        <v>15.242234092388882</v>
      </c>
      <c r="L33" s="137">
        <f t="shared" si="6"/>
        <v>0</v>
      </c>
      <c r="O33" s="20"/>
    </row>
    <row r="34" spans="2:15" ht="12.75">
      <c r="B34" s="139"/>
      <c r="C34" s="77"/>
      <c r="D34" s="208"/>
      <c r="E34" s="248"/>
      <c r="F34" s="248"/>
      <c r="G34" s="208"/>
      <c r="H34" s="138"/>
      <c r="I34" s="137"/>
      <c r="J34" s="137"/>
      <c r="K34" s="137"/>
      <c r="L34" s="137"/>
      <c r="O34" s="3"/>
    </row>
    <row r="35" spans="1:15" ht="12.75">
      <c r="A35" s="113" t="s">
        <v>21</v>
      </c>
      <c r="B35" s="139">
        <f t="shared" si="1"/>
        <v>45647128.11</v>
      </c>
      <c r="C35" s="208">
        <f>'table 2a'!C35</f>
        <v>31728712</v>
      </c>
      <c r="D35" s="208">
        <f>'table 2a'!D35</f>
        <v>467148.48</v>
      </c>
      <c r="E35" s="208">
        <f>state1!C36-state1!H36</f>
        <v>10141384.42</v>
      </c>
      <c r="F35" s="248">
        <f>fed1!B36-'table 6'!I36</f>
        <v>3251592.21</v>
      </c>
      <c r="G35" s="208">
        <f>'table 2a'!G35</f>
        <v>58291</v>
      </c>
      <c r="H35" s="138"/>
      <c r="I35" s="137">
        <f t="shared" si="2"/>
        <v>70.53206151855761</v>
      </c>
      <c r="J35" s="137">
        <f>IF($B35&lt;&gt;0,(E35/$B35*100),(IF(E35&lt;&gt;0,1,0)))</f>
        <v>22.216916682165397</v>
      </c>
      <c r="K35" s="137">
        <f aca="true" t="shared" si="7" ref="K35:L38">IF($B35&lt;&gt;0,(F35/$B35*100),(IF(F35&lt;&gt;0,1,0)))</f>
        <v>7.1233226374381</v>
      </c>
      <c r="L35" s="137">
        <f t="shared" si="7"/>
        <v>0.12769916183890237</v>
      </c>
      <c r="O35" s="20"/>
    </row>
    <row r="36" spans="1:15" ht="12.75">
      <c r="A36" s="113" t="s">
        <v>22</v>
      </c>
      <c r="B36" s="139">
        <f t="shared" si="1"/>
        <v>239239239.95000002</v>
      </c>
      <c r="C36" s="208">
        <f>'table 2a'!C36</f>
        <v>85552839.08</v>
      </c>
      <c r="D36" s="208">
        <f>'table 2a'!D36</f>
        <v>1244277.47</v>
      </c>
      <c r="E36" s="208">
        <f>state1!C37-state1!H37</f>
        <v>134824752.74</v>
      </c>
      <c r="F36" s="248">
        <f>fed1!B37-'table 6'!I37</f>
        <v>16869905.66</v>
      </c>
      <c r="G36" s="208">
        <f>'table 2a'!G36</f>
        <v>747465</v>
      </c>
      <c r="H36" s="138"/>
      <c r="I36" s="137">
        <f t="shared" si="2"/>
        <v>36.28046827441026</v>
      </c>
      <c r="J36" s="137">
        <f>IF($B36&lt;&gt;0,(E36/$B36*100),(IF(E36&lt;&gt;0,1,0)))</f>
        <v>56.35561823728323</v>
      </c>
      <c r="K36" s="137">
        <f t="shared" si="7"/>
        <v>7.051479374171954</v>
      </c>
      <c r="L36" s="137">
        <f t="shared" si="7"/>
        <v>0.3124341141345446</v>
      </c>
      <c r="O36" s="20"/>
    </row>
    <row r="37" spans="1:15" ht="12.75">
      <c r="A37" s="113" t="s">
        <v>23</v>
      </c>
      <c r="B37" s="139">
        <f t="shared" si="1"/>
        <v>170865845.36</v>
      </c>
      <c r="C37" s="208">
        <f>'table 2a'!C37</f>
        <v>49443053</v>
      </c>
      <c r="D37" s="208">
        <f>'table 2a'!D37</f>
        <v>2181340.88</v>
      </c>
      <c r="E37" s="208">
        <f>state1!C38-state1!H38</f>
        <v>104190544.13000001</v>
      </c>
      <c r="F37" s="248">
        <f>fed1!B38-'table 6'!I38</f>
        <v>14123244.850000001</v>
      </c>
      <c r="G37" s="208">
        <f>'table 2a'!G37</f>
        <v>927662.5</v>
      </c>
      <c r="H37" s="138"/>
      <c r="I37" s="137">
        <f t="shared" si="2"/>
        <v>30.21340734962668</v>
      </c>
      <c r="J37" s="137">
        <f>IF($B37&lt;&gt;0,(E37/$B37*100),(IF(E37&lt;&gt;0,1,0)))</f>
        <v>60.97798182572958</v>
      </c>
      <c r="K37" s="137">
        <f t="shared" si="7"/>
        <v>8.265692198603828</v>
      </c>
      <c r="L37" s="137">
        <f t="shared" si="7"/>
        <v>0.5429186260399163</v>
      </c>
      <c r="O37" s="20"/>
    </row>
    <row r="38" spans="1:15" ht="12.75">
      <c r="A38" s="169" t="s">
        <v>24</v>
      </c>
      <c r="B38" s="142">
        <f t="shared" si="1"/>
        <v>92454757.4</v>
      </c>
      <c r="C38" s="210">
        <f>'table 2a'!C38</f>
        <v>66703960</v>
      </c>
      <c r="D38" s="210">
        <f>'table 2a'!D38</f>
        <v>845534.91</v>
      </c>
      <c r="E38" s="210">
        <f>state1!C39-state1!H39</f>
        <v>16992202.540000003</v>
      </c>
      <c r="F38" s="210">
        <f>fed1!B39-'table 6'!I39</f>
        <v>7913059.949999999</v>
      </c>
      <c r="G38" s="210">
        <f>'table 2a'!G38</f>
        <v>0</v>
      </c>
      <c r="H38" s="141"/>
      <c r="I38" s="143">
        <f t="shared" si="2"/>
        <v>73.0622163852003</v>
      </c>
      <c r="J38" s="143">
        <f>IF($B38&lt;&gt;0,(E38/$B38*100),(IF(E38&lt;&gt;0,1,0)))</f>
        <v>18.378937999354918</v>
      </c>
      <c r="K38" s="143">
        <f t="shared" si="7"/>
        <v>8.55884561544477</v>
      </c>
      <c r="L38" s="143">
        <f t="shared" si="7"/>
        <v>0</v>
      </c>
      <c r="O38" s="20"/>
    </row>
    <row r="39" spans="1:15" ht="12.75">
      <c r="A39" s="117"/>
      <c r="B39" s="139"/>
      <c r="C39" s="136"/>
      <c r="D39" s="136"/>
      <c r="E39" s="136"/>
      <c r="F39" s="136"/>
      <c r="G39" s="136"/>
      <c r="H39" s="135"/>
      <c r="I39" s="137"/>
      <c r="J39" s="137"/>
      <c r="K39" s="137"/>
      <c r="L39" s="137"/>
      <c r="O39" s="20"/>
    </row>
    <row r="40" spans="1:12" ht="12.75">
      <c r="A40" s="203" t="s">
        <v>293</v>
      </c>
      <c r="C40" s="134"/>
      <c r="D40" s="138"/>
      <c r="E40" s="134"/>
      <c r="F40" s="134"/>
      <c r="G40" s="134"/>
      <c r="H40" s="134"/>
      <c r="I40" s="211"/>
      <c r="J40" s="211"/>
      <c r="K40" s="211"/>
      <c r="L40" s="134"/>
    </row>
    <row r="41" spans="1:256" ht="12.75">
      <c r="A41" s="57" t="s">
        <v>264</v>
      </c>
      <c r="B41" s="5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12" ht="12.75">
      <c r="A42" s="57" t="s">
        <v>240</v>
      </c>
      <c r="C42" s="134"/>
      <c r="D42" s="138"/>
      <c r="E42" s="134"/>
      <c r="F42" s="134"/>
      <c r="G42" s="134"/>
      <c r="H42" s="134"/>
      <c r="I42" s="134"/>
      <c r="J42" s="134"/>
      <c r="K42" s="134"/>
      <c r="L42" s="134"/>
    </row>
    <row r="43" spans="1:12" ht="12.75">
      <c r="A43" s="145"/>
      <c r="C43" s="134"/>
      <c r="D43" s="138"/>
      <c r="E43" s="134"/>
      <c r="F43" s="134"/>
      <c r="G43" s="134"/>
      <c r="H43" s="134"/>
      <c r="I43" s="134"/>
      <c r="J43" s="134"/>
      <c r="K43" s="134"/>
      <c r="L43" s="134"/>
    </row>
    <row r="44" spans="3:12" ht="12.75">
      <c r="C44" s="134"/>
      <c r="D44" s="138"/>
      <c r="E44" s="134"/>
      <c r="F44" s="134"/>
      <c r="G44" s="134"/>
      <c r="H44" s="134"/>
      <c r="I44" s="134"/>
      <c r="J44" s="134"/>
      <c r="K44" s="134"/>
      <c r="L44" s="134"/>
    </row>
    <row r="45" ht="12.75">
      <c r="D45" s="144"/>
    </row>
    <row r="46" ht="12.75">
      <c r="D46" s="144"/>
    </row>
  </sheetData>
  <sheetProtection password="CAF5" sheet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1" r:id="rId1"/>
  <headerFooter alignWithMargins="0">
    <oddFooter>&amp;L&amp;"Arial,Italic"&amp;9MSDE-DBS  10 / 2009&amp;C- 3 -&amp;R&amp;"Arial,Italic"&amp;9Selected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4.8515625" style="59" customWidth="1"/>
    <col min="4" max="4" width="13.28125" style="59" customWidth="1"/>
    <col min="5" max="5" width="18.140625" style="59" customWidth="1"/>
    <col min="6" max="7" width="13.28125" style="59" customWidth="1"/>
    <col min="8" max="11" width="9.140625" style="59" customWidth="1"/>
  </cols>
  <sheetData>
    <row r="1" spans="1:11" ht="12.75">
      <c r="A1" s="380" t="s">
        <v>93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3" spans="1:11" ht="12.75">
      <c r="A3" s="380" t="s">
        <v>256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0" ht="12.75">
      <c r="A4" s="380"/>
      <c r="B4" s="380"/>
      <c r="C4" s="380"/>
      <c r="D4" s="380"/>
      <c r="E4" s="380"/>
      <c r="F4" s="380"/>
      <c r="G4" s="380"/>
      <c r="H4" s="380"/>
      <c r="I4" s="380"/>
      <c r="J4" s="380"/>
    </row>
    <row r="5" spans="2:11" ht="13.5" thickBot="1">
      <c r="B5" s="11"/>
      <c r="C5" s="319"/>
      <c r="D5" s="319"/>
      <c r="E5" s="319"/>
      <c r="F5" s="319"/>
      <c r="G5" s="319"/>
      <c r="H5" s="319"/>
      <c r="I5" s="319"/>
      <c r="J5" s="319"/>
      <c r="K5" s="319"/>
    </row>
    <row r="6" spans="1:58" ht="15" customHeight="1" thickTop="1">
      <c r="A6" s="6" t="s">
        <v>83</v>
      </c>
      <c r="B6" s="17" t="s">
        <v>45</v>
      </c>
      <c r="C6" s="382" t="s">
        <v>86</v>
      </c>
      <c r="D6" s="382"/>
      <c r="E6" s="382"/>
      <c r="F6" s="382"/>
      <c r="G6" s="322"/>
      <c r="H6" s="382" t="s">
        <v>88</v>
      </c>
      <c r="I6" s="382"/>
      <c r="J6" s="382"/>
      <c r="K6" s="38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11" ht="12.75">
      <c r="A7" s="3" t="s">
        <v>35</v>
      </c>
      <c r="B7" s="9" t="s">
        <v>89</v>
      </c>
      <c r="C7" s="381" t="s">
        <v>83</v>
      </c>
      <c r="D7" s="381"/>
      <c r="E7" s="383" t="s">
        <v>46</v>
      </c>
      <c r="F7" s="383" t="s">
        <v>53</v>
      </c>
      <c r="G7" s="149" t="s">
        <v>85</v>
      </c>
      <c r="H7" s="78"/>
      <c r="I7" s="78"/>
      <c r="J7" s="78"/>
      <c r="K7" s="78" t="s">
        <v>85</v>
      </c>
    </row>
    <row r="8" spans="1:11" ht="13.5" thickBot="1">
      <c r="A8" s="7" t="s">
        <v>141</v>
      </c>
      <c r="B8" s="336" t="s">
        <v>90</v>
      </c>
      <c r="C8" s="108" t="s">
        <v>84</v>
      </c>
      <c r="D8" s="108" t="s">
        <v>119</v>
      </c>
      <c r="E8" s="384"/>
      <c r="F8" s="384"/>
      <c r="G8" s="52" t="s">
        <v>87</v>
      </c>
      <c r="H8" s="320" t="s">
        <v>83</v>
      </c>
      <c r="I8" s="320" t="s">
        <v>46</v>
      </c>
      <c r="J8" s="321" t="s">
        <v>53</v>
      </c>
      <c r="K8" s="108" t="s">
        <v>87</v>
      </c>
    </row>
    <row r="9" spans="1:11" ht="12.75">
      <c r="A9" s="3" t="s">
        <v>0</v>
      </c>
      <c r="B9" s="71">
        <f aca="true" t="shared" si="0" ref="B9:G9">SUM(B11:B38)</f>
        <v>1336845889.5100002</v>
      </c>
      <c r="C9" s="212">
        <f t="shared" si="0"/>
        <v>920535871.0800002</v>
      </c>
      <c r="D9" s="212">
        <f t="shared" si="0"/>
        <v>4051411.9800000004</v>
      </c>
      <c r="E9" s="212">
        <f t="shared" si="0"/>
        <v>373362231.85</v>
      </c>
      <c r="F9" s="212">
        <f t="shared" si="0"/>
        <v>0</v>
      </c>
      <c r="G9" s="212">
        <f t="shared" si="0"/>
        <v>38896374.6</v>
      </c>
      <c r="H9" s="213">
        <f>IF(B9&lt;&gt;0,((+C9+D9)/B9),(IF(C9&lt;&gt;0,1,0)))</f>
        <v>0.6916184507990618</v>
      </c>
      <c r="I9" s="213">
        <f>IF($B9&lt;&gt;0,(E9/$B9),(IF(E9&lt;&gt;0,1,0)))</f>
        <v>0.27928591827951843</v>
      </c>
      <c r="J9" s="213">
        <f>IF($B9&lt;&gt;0,(F9/$B9),(IF(F9&lt;&gt;0,1,0)))</f>
        <v>0</v>
      </c>
      <c r="K9" s="213">
        <f>IF($B9&lt;&gt;0,(G9/$B9),(IF(G9&lt;&gt;0,1,0)))</f>
        <v>0.029095630921419712</v>
      </c>
    </row>
    <row r="10" spans="1:11" ht="12.75">
      <c r="A10" s="3"/>
      <c r="B10" s="72"/>
      <c r="C10" s="214"/>
      <c r="D10" s="101"/>
      <c r="E10" s="100"/>
      <c r="F10" s="95"/>
      <c r="G10" s="95"/>
      <c r="H10" s="215"/>
      <c r="I10" s="215"/>
      <c r="J10" s="215"/>
      <c r="K10" s="215"/>
    </row>
    <row r="11" spans="1:11" ht="12.75">
      <c r="A11" t="s">
        <v>1</v>
      </c>
      <c r="B11" s="65">
        <f aca="true" t="shared" si="1" ref="B11:B38">SUM(C11:G11)</f>
        <v>8527185.21</v>
      </c>
      <c r="C11" s="208">
        <v>390279.58</v>
      </c>
      <c r="D11" s="208">
        <v>0</v>
      </c>
      <c r="E11" s="100">
        <v>493660</v>
      </c>
      <c r="F11" s="208">
        <v>0</v>
      </c>
      <c r="G11" s="208">
        <v>7643245.630000001</v>
      </c>
      <c r="H11" s="216">
        <f aca="true" t="shared" si="2" ref="H11:H38">IF(B11&lt;&gt;0,((+C11+D11)/B11*100),(IF(C11&lt;&gt;0,1,0)))</f>
        <v>4.576886397897296</v>
      </c>
      <c r="I11" s="216">
        <f>IF($B11&lt;&gt;0,(E11/$B11*100),(IF(E11&lt;&gt;0,1,0)))</f>
        <v>5.789249181794187</v>
      </c>
      <c r="J11" s="216">
        <f aca="true" t="shared" si="3" ref="J11:K15">IF($B11&lt;&gt;0,(F11/$B11*100),(IF(F11&lt;&gt;0,1,0)))</f>
        <v>0</v>
      </c>
      <c r="K11" s="216">
        <f t="shared" si="3"/>
        <v>89.63386442030851</v>
      </c>
    </row>
    <row r="12" spans="1:11" ht="12.75">
      <c r="A12" t="s">
        <v>2</v>
      </c>
      <c r="B12" s="65">
        <f t="shared" si="1"/>
        <v>67279488</v>
      </c>
      <c r="C12" s="208">
        <v>53858174</v>
      </c>
      <c r="D12" s="208">
        <v>248734</v>
      </c>
      <c r="E12" s="100">
        <v>13172580</v>
      </c>
      <c r="F12" s="208">
        <v>0</v>
      </c>
      <c r="G12" s="208">
        <v>0</v>
      </c>
      <c r="H12" s="216">
        <f t="shared" si="2"/>
        <v>80.4211054638228</v>
      </c>
      <c r="I12" s="216">
        <f>IF($B12&lt;&gt;0,(E12/$B12*100),(IF(E12&lt;&gt;0,1,0)))</f>
        <v>19.57889453617721</v>
      </c>
      <c r="J12" s="216">
        <f t="shared" si="3"/>
        <v>0</v>
      </c>
      <c r="K12" s="216">
        <f t="shared" si="3"/>
        <v>0</v>
      </c>
    </row>
    <row r="13" spans="1:11" ht="12.75">
      <c r="A13" t="s">
        <v>3</v>
      </c>
      <c r="B13" s="65">
        <f t="shared" si="1"/>
        <v>127373064.85000001</v>
      </c>
      <c r="C13" s="208">
        <v>58961682.41</v>
      </c>
      <c r="D13" s="208">
        <v>910702.24</v>
      </c>
      <c r="E13" s="100">
        <v>57761044</v>
      </c>
      <c r="F13" s="208">
        <v>0</v>
      </c>
      <c r="G13" s="208">
        <v>9739636.2</v>
      </c>
      <c r="H13" s="216">
        <f>IF(B13&lt;&gt;0,((+C13+D13)/B13*100),(IF(C13&lt;&gt;0,1,0)))</f>
        <v>47.005530345452776</v>
      </c>
      <c r="I13" s="216">
        <f>IF($B13&lt;&gt;0,(E13/$B13*100),(IF(E13&lt;&gt;0,1,0)))</f>
        <v>45.347926634270664</v>
      </c>
      <c r="J13" s="216">
        <f t="shared" si="3"/>
        <v>0</v>
      </c>
      <c r="K13" s="216">
        <f t="shared" si="3"/>
        <v>7.64654302027655</v>
      </c>
    </row>
    <row r="14" spans="1:11" ht="12.75">
      <c r="A14" t="s">
        <v>4</v>
      </c>
      <c r="B14" s="65">
        <f t="shared" si="1"/>
        <v>165210579</v>
      </c>
      <c r="C14" s="208">
        <v>99968620</v>
      </c>
      <c r="D14" s="208">
        <v>0</v>
      </c>
      <c r="E14" s="100">
        <v>65241959</v>
      </c>
      <c r="F14" s="208">
        <v>0</v>
      </c>
      <c r="G14" s="208">
        <v>0</v>
      </c>
      <c r="H14" s="216">
        <f t="shared" si="2"/>
        <v>60.5098175946711</v>
      </c>
      <c r="I14" s="216">
        <f>IF($B14&lt;&gt;0,(E14/$B14*100),(IF(E14&lt;&gt;0,1,0)))</f>
        <v>39.4901824053289</v>
      </c>
      <c r="J14" s="216">
        <f t="shared" si="3"/>
        <v>0</v>
      </c>
      <c r="K14" s="216">
        <f t="shared" si="3"/>
        <v>0</v>
      </c>
    </row>
    <row r="15" spans="1:11" ht="12.75">
      <c r="A15" t="s">
        <v>5</v>
      </c>
      <c r="B15" s="65">
        <f t="shared" si="1"/>
        <v>22281809.009999998</v>
      </c>
      <c r="C15" s="208">
        <v>10127666.25</v>
      </c>
      <c r="D15" s="208">
        <v>2700.08</v>
      </c>
      <c r="E15" s="100">
        <v>12151442.68</v>
      </c>
      <c r="F15" s="208">
        <v>0</v>
      </c>
      <c r="G15" s="208">
        <v>0</v>
      </c>
      <c r="H15" s="216">
        <f t="shared" si="2"/>
        <v>45.46473908583242</v>
      </c>
      <c r="I15" s="216">
        <f>IF($B15&lt;&gt;0,(E15/$B15*100),(IF(E15&lt;&gt;0,1,0)))</f>
        <v>54.53526091416758</v>
      </c>
      <c r="J15" s="216">
        <f t="shared" si="3"/>
        <v>0</v>
      </c>
      <c r="K15" s="216">
        <f t="shared" si="3"/>
        <v>0</v>
      </c>
    </row>
    <row r="16" spans="2:11" ht="12.75">
      <c r="B16" s="65"/>
      <c r="C16" s="208"/>
      <c r="D16" s="208"/>
      <c r="E16" s="100"/>
      <c r="F16" s="208"/>
      <c r="G16" s="208"/>
      <c r="H16" s="216"/>
      <c r="I16" s="216"/>
      <c r="J16" s="216"/>
      <c r="K16" s="216"/>
    </row>
    <row r="17" spans="1:11" ht="12.75">
      <c r="A17" t="s">
        <v>6</v>
      </c>
      <c r="B17" s="65">
        <f t="shared" si="1"/>
        <v>3528898</v>
      </c>
      <c r="C17" s="208">
        <v>2346009.64</v>
      </c>
      <c r="D17" s="208">
        <v>71759.66</v>
      </c>
      <c r="E17" s="100">
        <v>1111128.7</v>
      </c>
      <c r="F17" s="208">
        <v>0</v>
      </c>
      <c r="G17" s="208">
        <v>0</v>
      </c>
      <c r="H17" s="216">
        <f t="shared" si="2"/>
        <v>68.51343677261288</v>
      </c>
      <c r="I17" s="216">
        <f>IF($B17&lt;&gt;0,(E17/$B17*100),(IF(E17&lt;&gt;0,1,0)))</f>
        <v>31.486563227387133</v>
      </c>
      <c r="J17" s="216">
        <f aca="true" t="shared" si="4" ref="J17:K21">IF($B17&lt;&gt;0,(F17/$B17*100),(IF(F17&lt;&gt;0,1,0)))</f>
        <v>0</v>
      </c>
      <c r="K17" s="216">
        <f t="shared" si="4"/>
        <v>0</v>
      </c>
    </row>
    <row r="18" spans="1:11" ht="12.75">
      <c r="A18" t="s">
        <v>7</v>
      </c>
      <c r="B18" s="65">
        <f t="shared" si="1"/>
        <v>63843433.199999996</v>
      </c>
      <c r="C18" s="208">
        <v>57277937.91</v>
      </c>
      <c r="D18" s="208">
        <v>0</v>
      </c>
      <c r="E18" s="100">
        <v>6565495.29</v>
      </c>
      <c r="F18" s="208">
        <v>0</v>
      </c>
      <c r="G18" s="208">
        <v>0</v>
      </c>
      <c r="H18" s="216">
        <f t="shared" si="2"/>
        <v>89.7162559077415</v>
      </c>
      <c r="I18" s="216">
        <f>IF($B18&lt;&gt;0,(E18/$B18*100),(IF(E18&lt;&gt;0,1,0)))</f>
        <v>10.283744092258498</v>
      </c>
      <c r="J18" s="216">
        <f t="shared" si="4"/>
        <v>0</v>
      </c>
      <c r="K18" s="216">
        <f t="shared" si="4"/>
        <v>0</v>
      </c>
    </row>
    <row r="19" spans="1:11" ht="12.75">
      <c r="A19" t="s">
        <v>8</v>
      </c>
      <c r="B19" s="65">
        <f t="shared" si="1"/>
        <v>17708065.11</v>
      </c>
      <c r="C19" s="208">
        <v>14907392.98</v>
      </c>
      <c r="D19" s="208">
        <v>54697.13</v>
      </c>
      <c r="E19" s="100">
        <v>2745975</v>
      </c>
      <c r="F19" s="208">
        <v>0</v>
      </c>
      <c r="G19" s="208">
        <v>0</v>
      </c>
      <c r="H19" s="216">
        <f>IF(B19&lt;&gt;0,((+C19+D19)/B19*100),(IF(C19&lt;&gt;0,1,0)))</f>
        <v>84.49308276797952</v>
      </c>
      <c r="I19" s="216">
        <f>IF($B19&lt;&gt;0,(E19/$B19*100),(IF(E19&lt;&gt;0,1,0)))</f>
        <v>15.5069172320205</v>
      </c>
      <c r="J19" s="216">
        <f t="shared" si="4"/>
        <v>0</v>
      </c>
      <c r="K19" s="216">
        <f t="shared" si="4"/>
        <v>0</v>
      </c>
    </row>
    <row r="20" spans="1:11" ht="12.75">
      <c r="A20" t="s">
        <v>9</v>
      </c>
      <c r="B20" s="65">
        <f t="shared" si="1"/>
        <v>36767827.99</v>
      </c>
      <c r="C20" s="208">
        <v>26924040.17</v>
      </c>
      <c r="D20" s="208">
        <v>802.27</v>
      </c>
      <c r="E20" s="100">
        <v>9842985.55</v>
      </c>
      <c r="F20" s="208">
        <v>0</v>
      </c>
      <c r="G20" s="208">
        <v>0</v>
      </c>
      <c r="H20" s="216">
        <f t="shared" si="2"/>
        <v>73.2293527029199</v>
      </c>
      <c r="I20" s="216">
        <f>IF($B20&lt;&gt;0,(E20/$B20*100),(IF(E20&lt;&gt;0,1,0)))</f>
        <v>26.770647297080114</v>
      </c>
      <c r="J20" s="216">
        <f t="shared" si="4"/>
        <v>0</v>
      </c>
      <c r="K20" s="216">
        <f t="shared" si="4"/>
        <v>0</v>
      </c>
    </row>
    <row r="21" spans="1:11" ht="12.75">
      <c r="A21" t="s">
        <v>10</v>
      </c>
      <c r="B21" s="65">
        <f t="shared" si="1"/>
        <v>9378518</v>
      </c>
      <c r="C21" s="208">
        <v>2871662</v>
      </c>
      <c r="D21" s="208">
        <v>0</v>
      </c>
      <c r="E21" s="100">
        <v>6506856</v>
      </c>
      <c r="F21" s="208">
        <v>0</v>
      </c>
      <c r="G21" s="208">
        <v>0</v>
      </c>
      <c r="H21" s="216">
        <f t="shared" si="2"/>
        <v>30.619571237161352</v>
      </c>
      <c r="I21" s="216">
        <f>IF($B21&lt;&gt;0,(E21/$B21*100),(IF(E21&lt;&gt;0,1,0)))</f>
        <v>69.38042876283865</v>
      </c>
      <c r="J21" s="216">
        <f t="shared" si="4"/>
        <v>0</v>
      </c>
      <c r="K21" s="216">
        <f t="shared" si="4"/>
        <v>0</v>
      </c>
    </row>
    <row r="22" spans="2:11" ht="12.75">
      <c r="B22" s="65"/>
      <c r="C22" s="208"/>
      <c r="D22" s="208"/>
      <c r="E22" s="100"/>
      <c r="F22" s="208"/>
      <c r="G22" s="208"/>
      <c r="H22" s="216"/>
      <c r="I22" s="216"/>
      <c r="J22" s="216"/>
      <c r="K22" s="216"/>
    </row>
    <row r="23" spans="1:11" ht="12.75">
      <c r="A23" t="s">
        <v>11</v>
      </c>
      <c r="B23" s="65">
        <f t="shared" si="1"/>
        <v>76067965</v>
      </c>
      <c r="C23" s="208">
        <v>37139427</v>
      </c>
      <c r="D23" s="208">
        <v>326808</v>
      </c>
      <c r="E23" s="100">
        <v>17890724</v>
      </c>
      <c r="F23" s="208">
        <v>0</v>
      </c>
      <c r="G23" s="208">
        <v>20711006</v>
      </c>
      <c r="H23" s="216">
        <f t="shared" si="2"/>
        <v>49.2536312756625</v>
      </c>
      <c r="I23" s="216">
        <f>IF($B23&lt;&gt;0,(E23/$B23*100),(IF(E23&lt;&gt;0,1,0)))</f>
        <v>23.519393479239255</v>
      </c>
      <c r="J23" s="216">
        <f aca="true" t="shared" si="5" ref="J23:K27">IF($B23&lt;&gt;0,(F23/$B23*100),(IF(F23&lt;&gt;0,1,0)))</f>
        <v>0</v>
      </c>
      <c r="K23" s="216">
        <f t="shared" si="5"/>
        <v>27.226975245098252</v>
      </c>
    </row>
    <row r="24" spans="1:11" ht="12.75">
      <c r="A24" t="s">
        <v>12</v>
      </c>
      <c r="B24" s="65">
        <f t="shared" si="1"/>
        <v>2150090.36</v>
      </c>
      <c r="C24" s="208">
        <v>1982528.23</v>
      </c>
      <c r="D24" s="208">
        <v>0</v>
      </c>
      <c r="E24" s="100">
        <v>167562.13</v>
      </c>
      <c r="F24" s="208">
        <v>0</v>
      </c>
      <c r="G24" s="208">
        <v>0</v>
      </c>
      <c r="H24" s="216">
        <f t="shared" si="2"/>
        <v>92.20674009254198</v>
      </c>
      <c r="I24" s="216">
        <f>IF($B24&lt;&gt;0,(E24/$B24*100),(IF(E24&lt;&gt;0,1,0)))</f>
        <v>7.7932599074580295</v>
      </c>
      <c r="J24" s="216">
        <f t="shared" si="5"/>
        <v>0</v>
      </c>
      <c r="K24" s="216">
        <f t="shared" si="5"/>
        <v>0</v>
      </c>
    </row>
    <row r="25" spans="1:11" ht="12.75">
      <c r="A25" t="s">
        <v>13</v>
      </c>
      <c r="B25" s="65">
        <f t="shared" si="1"/>
        <v>101153416</v>
      </c>
      <c r="C25" s="208">
        <v>79119796</v>
      </c>
      <c r="D25" s="208">
        <v>1407797</v>
      </c>
      <c r="E25" s="100">
        <v>20625823</v>
      </c>
      <c r="F25" s="208">
        <v>0</v>
      </c>
      <c r="G25" s="208">
        <v>0</v>
      </c>
      <c r="H25" s="216">
        <f>IF(B25&lt;&gt;0,((+C25+D25)/B25*100),(IF(C25&lt;&gt;0,1,0)))</f>
        <v>79.60936583693822</v>
      </c>
      <c r="I25" s="216">
        <f>IF($B25&lt;&gt;0,(E25/$B25*100),(IF(E25&lt;&gt;0,1,0)))</f>
        <v>20.39063416306178</v>
      </c>
      <c r="J25" s="216">
        <f t="shared" si="5"/>
        <v>0</v>
      </c>
      <c r="K25" s="216">
        <f t="shared" si="5"/>
        <v>0</v>
      </c>
    </row>
    <row r="26" spans="1:11" ht="12.75">
      <c r="A26" t="s">
        <v>14</v>
      </c>
      <c r="B26" s="65">
        <f t="shared" si="1"/>
        <v>71334764</v>
      </c>
      <c r="C26" s="208">
        <v>57759216</v>
      </c>
      <c r="D26" s="208">
        <v>253777</v>
      </c>
      <c r="E26" s="100">
        <v>13321771</v>
      </c>
      <c r="F26" s="208">
        <v>0</v>
      </c>
      <c r="G26" s="208">
        <v>0</v>
      </c>
      <c r="H26" s="216">
        <f>IF(B26&lt;&gt;0,((+C27+D26)/B26*100),(IF(C27&lt;&gt;0,1,0)))</f>
        <v>2.79171737359361</v>
      </c>
      <c r="I26" s="216">
        <f>IF($B26&lt;&gt;0,(E26/$B26*100),(IF(E26&lt;&gt;0,1,0)))</f>
        <v>18.67500535923831</v>
      </c>
      <c r="J26" s="216">
        <f t="shared" si="5"/>
        <v>0</v>
      </c>
      <c r="K26" s="216">
        <f t="shared" si="5"/>
        <v>0</v>
      </c>
    </row>
    <row r="27" spans="1:11" ht="12.75">
      <c r="A27" t="s">
        <v>15</v>
      </c>
      <c r="B27" s="65">
        <f>SUM(C27:G27)</f>
        <v>2800030</v>
      </c>
      <c r="C27" s="208">
        <v>1737688</v>
      </c>
      <c r="D27" s="208">
        <v>0</v>
      </c>
      <c r="E27" s="100">
        <v>1062342</v>
      </c>
      <c r="F27" s="208">
        <v>0</v>
      </c>
      <c r="G27" s="208">
        <v>0</v>
      </c>
      <c r="H27" s="216">
        <f>IF(B27&lt;&gt;0,((+C28+D27)/B27*100),(IF(C28&lt;&gt;0,1,0)))</f>
        <v>0</v>
      </c>
      <c r="I27" s="216">
        <f>IF($B27&lt;&gt;0,(E27/$B27*100),(IF(E27&lt;&gt;0,1,0)))</f>
        <v>37.940379210222744</v>
      </c>
      <c r="J27" s="216">
        <f t="shared" si="5"/>
        <v>0</v>
      </c>
      <c r="K27" s="216">
        <f t="shared" si="5"/>
        <v>0</v>
      </c>
    </row>
    <row r="28" spans="2:11" ht="12.75">
      <c r="B28" s="65"/>
      <c r="C28" s="110"/>
      <c r="D28" s="110"/>
      <c r="E28" s="100"/>
      <c r="F28" s="208"/>
      <c r="G28" s="208"/>
      <c r="H28" s="216"/>
      <c r="I28" s="216"/>
      <c r="J28" s="216"/>
      <c r="K28" s="216"/>
    </row>
    <row r="29" spans="1:11" ht="12.75">
      <c r="A29" t="s">
        <v>16</v>
      </c>
      <c r="B29" s="65">
        <f t="shared" si="1"/>
        <v>322884741</v>
      </c>
      <c r="C29" s="208">
        <v>270502472</v>
      </c>
      <c r="D29" s="208">
        <v>0</v>
      </c>
      <c r="E29" s="100">
        <v>51973869</v>
      </c>
      <c r="F29" s="208">
        <v>0</v>
      </c>
      <c r="G29" s="208">
        <v>408400</v>
      </c>
      <c r="H29" s="216">
        <f>IF(B29&lt;&gt;0,((+C30+D30)/B29*100),(IF(C30&lt;&gt;0,1,0)))</f>
        <v>20.228199325157952</v>
      </c>
      <c r="I29" s="216">
        <f>IF($B29&lt;&gt;0,(E29/$B29*100),(IF(E29&lt;&gt;0,1,0)))</f>
        <v>16.096725053972122</v>
      </c>
      <c r="J29" s="216">
        <f aca="true" t="shared" si="6" ref="J29:K33">IF($B29&lt;&gt;0,(F29/$B29*100),(IF(F29&lt;&gt;0,1,0)))</f>
        <v>0</v>
      </c>
      <c r="K29" s="216">
        <f t="shared" si="6"/>
        <v>0.12648476318055552</v>
      </c>
    </row>
    <row r="30" spans="1:11" ht="12.75">
      <c r="A30" t="s">
        <v>17</v>
      </c>
      <c r="B30" s="65">
        <f t="shared" si="1"/>
        <v>117992339</v>
      </c>
      <c r="C30" s="208">
        <v>64649835</v>
      </c>
      <c r="D30" s="208">
        <v>663934</v>
      </c>
      <c r="E30" s="100">
        <v>52678570</v>
      </c>
      <c r="F30" s="208">
        <v>0</v>
      </c>
      <c r="G30" s="208">
        <v>0</v>
      </c>
      <c r="H30" s="216">
        <f>IF(B30&lt;&gt;0,((+C31+D31)/B30*100),(IF(C31&lt;&gt;0,1,0)))</f>
        <v>10.326880874867648</v>
      </c>
      <c r="I30" s="216">
        <f>IF($B30&lt;&gt;0,(E30/$B30*100),(IF(E30&lt;&gt;0,1,0)))</f>
        <v>44.64575450106129</v>
      </c>
      <c r="J30" s="216">
        <f t="shared" si="6"/>
        <v>0</v>
      </c>
      <c r="K30" s="216">
        <f t="shared" si="6"/>
        <v>0</v>
      </c>
    </row>
    <row r="31" spans="1:11" ht="12.75">
      <c r="A31" t="s">
        <v>18</v>
      </c>
      <c r="B31" s="65">
        <f t="shared" si="1"/>
        <v>16166533.290000001</v>
      </c>
      <c r="C31" s="208">
        <v>12181945.32</v>
      </c>
      <c r="D31" s="208">
        <v>2982.97</v>
      </c>
      <c r="E31" s="100">
        <v>3981605</v>
      </c>
      <c r="F31" s="208">
        <v>0</v>
      </c>
      <c r="G31" s="208">
        <v>0</v>
      </c>
      <c r="H31" s="216">
        <f>IF(B31&lt;&gt;0,((+C32+D32)/B31*100),(IF(C32&lt;&gt;0,1,0)))</f>
        <v>52.55360872732907</v>
      </c>
      <c r="I31" s="216">
        <f>IF($B31&lt;&gt;0,(E31/$B31*100),(IF(E31&lt;&gt;0,1,0)))</f>
        <v>24.628687725295244</v>
      </c>
      <c r="J31" s="216">
        <f t="shared" si="6"/>
        <v>0</v>
      </c>
      <c r="K31" s="216">
        <f t="shared" si="6"/>
        <v>0</v>
      </c>
    </row>
    <row r="32" spans="1:11" ht="12.75">
      <c r="A32" t="s">
        <v>19</v>
      </c>
      <c r="B32" s="65">
        <f t="shared" si="1"/>
        <v>16490624.65</v>
      </c>
      <c r="C32" s="208">
        <v>8495272.72</v>
      </c>
      <c r="D32" s="208">
        <v>823.93</v>
      </c>
      <c r="E32" s="100">
        <v>7994528</v>
      </c>
      <c r="F32" s="208">
        <v>0</v>
      </c>
      <c r="G32" s="208">
        <v>0</v>
      </c>
      <c r="H32" s="216">
        <f>IF(B32&lt;&gt;0,((+C32+D32)/B32*100),(IF(C32&lt;&gt;0,1,0)))</f>
        <v>51.52076910561421</v>
      </c>
      <c r="I32" s="216">
        <f>IF($B32&lt;&gt;0,(E32/$B32*100),(IF(E32&lt;&gt;0,1,0)))</f>
        <v>48.4792308943858</v>
      </c>
      <c r="J32" s="216">
        <f t="shared" si="6"/>
        <v>0</v>
      </c>
      <c r="K32" s="216">
        <f t="shared" si="6"/>
        <v>0</v>
      </c>
    </row>
    <row r="33" spans="1:11" ht="12.75">
      <c r="A33" t="s">
        <v>20</v>
      </c>
      <c r="B33" s="65">
        <f t="shared" si="1"/>
        <v>6706478</v>
      </c>
      <c r="C33" s="208">
        <v>3553076</v>
      </c>
      <c r="D33" s="208">
        <v>0</v>
      </c>
      <c r="E33" s="100">
        <v>3153402</v>
      </c>
      <c r="F33" s="208">
        <v>0</v>
      </c>
      <c r="G33" s="208">
        <v>0</v>
      </c>
      <c r="H33" s="216">
        <f t="shared" si="2"/>
        <v>52.97976076265366</v>
      </c>
      <c r="I33" s="216">
        <f>IF($B33&lt;&gt;0,(E33/$B33*100),(IF(E33&lt;&gt;0,1,0)))</f>
        <v>47.02023923734634</v>
      </c>
      <c r="J33" s="216">
        <f t="shared" si="6"/>
        <v>0</v>
      </c>
      <c r="K33" s="216">
        <f t="shared" si="6"/>
        <v>0</v>
      </c>
    </row>
    <row r="34" spans="2:11" ht="12.75">
      <c r="B34" s="65"/>
      <c r="C34" s="208"/>
      <c r="D34" s="208"/>
      <c r="E34" s="100"/>
      <c r="F34" s="208"/>
      <c r="G34" s="208"/>
      <c r="H34" s="216"/>
      <c r="I34" s="216"/>
      <c r="J34" s="216"/>
      <c r="K34" s="216"/>
    </row>
    <row r="35" spans="1:11" ht="12.75">
      <c r="A35" t="s">
        <v>21</v>
      </c>
      <c r="B35" s="65">
        <f t="shared" si="1"/>
        <v>12170836.18</v>
      </c>
      <c r="C35" s="208">
        <v>10039265.03</v>
      </c>
      <c r="D35" s="208">
        <v>0</v>
      </c>
      <c r="E35" s="100">
        <v>2131571.15</v>
      </c>
      <c r="F35" s="208">
        <v>0</v>
      </c>
      <c r="G35" s="208">
        <v>0</v>
      </c>
      <c r="H35" s="216">
        <f t="shared" si="2"/>
        <v>82.48623908435518</v>
      </c>
      <c r="I35" s="216">
        <f>IF($B35&lt;&gt;0,(E35/$B35*100),(IF(E35&lt;&gt;0,1,0)))</f>
        <v>17.513760915644827</v>
      </c>
      <c r="J35" s="216">
        <f aca="true" t="shared" si="7" ref="J35:K38">IF($B35&lt;&gt;0,(F35/$B35*100),(IF(F35&lt;&gt;0,1,0)))</f>
        <v>0</v>
      </c>
      <c r="K35" s="216">
        <f t="shared" si="7"/>
        <v>0</v>
      </c>
    </row>
    <row r="36" spans="1:11" ht="12.75">
      <c r="A36" t="s">
        <v>22</v>
      </c>
      <c r="B36" s="65">
        <f t="shared" si="1"/>
        <v>43959980</v>
      </c>
      <c r="C36" s="208">
        <v>28778136</v>
      </c>
      <c r="D36" s="208">
        <v>105448</v>
      </c>
      <c r="E36" s="100">
        <v>15076396</v>
      </c>
      <c r="F36" s="208">
        <v>0</v>
      </c>
      <c r="G36" s="208">
        <v>0</v>
      </c>
      <c r="H36" s="216">
        <f t="shared" si="2"/>
        <v>65.7042701111329</v>
      </c>
      <c r="I36" s="216">
        <f>IF($B36&lt;&gt;0,(E36/$B36*100),(IF(E36&lt;&gt;0,1,0)))</f>
        <v>34.2957298888671</v>
      </c>
      <c r="J36" s="216">
        <f t="shared" si="7"/>
        <v>0</v>
      </c>
      <c r="K36" s="216">
        <f t="shared" si="7"/>
        <v>0</v>
      </c>
    </row>
    <row r="37" spans="1:11" ht="12.75">
      <c r="A37" t="s">
        <v>23</v>
      </c>
      <c r="B37" s="65">
        <f t="shared" si="1"/>
        <v>653086.77</v>
      </c>
      <c r="C37" s="208">
        <v>0</v>
      </c>
      <c r="D37" s="208">
        <v>0</v>
      </c>
      <c r="E37" s="100">
        <v>259000</v>
      </c>
      <c r="F37" s="208">
        <v>0</v>
      </c>
      <c r="G37" s="208">
        <v>394086.77</v>
      </c>
      <c r="H37" s="216">
        <f t="shared" si="2"/>
        <v>0</v>
      </c>
      <c r="I37" s="216">
        <f>IF($B37&lt;&gt;0,(E37/$B37*100),(IF(E37&lt;&gt;0,1,0)))</f>
        <v>39.65782372225976</v>
      </c>
      <c r="J37" s="216">
        <f t="shared" si="7"/>
        <v>0</v>
      </c>
      <c r="K37" s="216">
        <f t="shared" si="7"/>
        <v>60.34217627774024</v>
      </c>
    </row>
    <row r="38" spans="1:11" ht="12.75">
      <c r="A38" s="12" t="s">
        <v>24</v>
      </c>
      <c r="B38" s="338">
        <f t="shared" si="1"/>
        <v>24416136.89</v>
      </c>
      <c r="C38" s="210">
        <v>16963748.84</v>
      </c>
      <c r="D38" s="210">
        <v>445.7</v>
      </c>
      <c r="E38" s="339">
        <v>7451942.35</v>
      </c>
      <c r="F38" s="210">
        <v>0</v>
      </c>
      <c r="G38" s="210">
        <v>0</v>
      </c>
      <c r="H38" s="217">
        <f t="shared" si="2"/>
        <v>69.47943737548401</v>
      </c>
      <c r="I38" s="217">
        <f>IF($B38&lt;&gt;0,(E38/$B38*100),(IF(E38&lt;&gt;0,1,0)))</f>
        <v>30.520562624515986</v>
      </c>
      <c r="J38" s="217">
        <f t="shared" si="7"/>
        <v>0</v>
      </c>
      <c r="K38" s="217">
        <f t="shared" si="7"/>
        <v>0</v>
      </c>
    </row>
    <row r="39" spans="1:10" ht="12.75">
      <c r="A39" s="21" t="s">
        <v>247</v>
      </c>
      <c r="B39" s="3"/>
      <c r="C39" s="69"/>
      <c r="D39" s="69"/>
      <c r="E39" s="69"/>
      <c r="F39" s="69"/>
      <c r="G39" s="69"/>
      <c r="H39" s="81"/>
      <c r="I39" s="81"/>
      <c r="J39" s="81"/>
    </row>
    <row r="40" spans="1:4" ht="12.75">
      <c r="A40" s="21"/>
      <c r="D40" s="218"/>
    </row>
    <row r="41" ht="12.75">
      <c r="D41" s="218"/>
    </row>
    <row r="42" ht="12.75">
      <c r="D42" s="218"/>
    </row>
    <row r="43" ht="12.75">
      <c r="D43" s="218"/>
    </row>
    <row r="44" ht="12.75">
      <c r="D44" s="218"/>
    </row>
    <row r="45" ht="12.75">
      <c r="D45" s="218"/>
    </row>
  </sheetData>
  <sheetProtection password="CAF5" sheet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rintOptions horizontalCentered="1"/>
  <pageMargins left="0.5" right="0.52" top="0.83" bottom="1" header="0.67" footer="0.5"/>
  <pageSetup fitToHeight="1" fitToWidth="1" horizontalDpi="600" verticalDpi="600" orientation="landscape" scale="93" r:id="rId1"/>
  <headerFooter alignWithMargins="0">
    <oddFooter>&amp;L&amp;"Arial,Italic"&amp;9MSDE-DBS  10 / 2009&amp;C- 4 -&amp;R&amp;"Arial,Italic"&amp;9Selected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15.7109375" style="134" customWidth="1"/>
    <col min="2" max="3" width="14.8515625" style="134" customWidth="1"/>
    <col min="4" max="4" width="13.28125" style="134" customWidth="1"/>
    <col min="5" max="5" width="14.8515625" style="134" customWidth="1"/>
    <col min="6" max="7" width="13.28125" style="134" customWidth="1"/>
    <col min="8" max="8" width="2.7109375" style="134" customWidth="1"/>
    <col min="9" max="11" width="9.140625" style="134" customWidth="1"/>
    <col min="12" max="12" width="11.57421875" style="134" customWidth="1"/>
    <col min="13" max="13" width="9.140625" style="134" customWidth="1"/>
  </cols>
  <sheetData>
    <row r="1" spans="1:13" ht="12.75">
      <c r="A1" s="386" t="s">
        <v>94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105"/>
      <c r="M1" s="105"/>
    </row>
    <row r="2" spans="1:13" ht="12.75">
      <c r="A2" s="219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75">
      <c r="A3" s="386" t="s">
        <v>263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105"/>
      <c r="M3" s="105"/>
    </row>
    <row r="4" spans="1:13" ht="12.7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105"/>
      <c r="M4" s="105"/>
    </row>
    <row r="5" spans="1:13" ht="13.5" thickBot="1">
      <c r="A5" s="105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05"/>
    </row>
    <row r="6" spans="1:56" ht="15" customHeight="1" thickTop="1">
      <c r="A6" s="171" t="s">
        <v>83</v>
      </c>
      <c r="B6" s="173" t="s">
        <v>45</v>
      </c>
      <c r="C6" s="387" t="s">
        <v>86</v>
      </c>
      <c r="D6" s="387"/>
      <c r="E6" s="387"/>
      <c r="F6" s="387"/>
      <c r="G6" s="221"/>
      <c r="H6" s="221"/>
      <c r="I6" s="387" t="s">
        <v>88</v>
      </c>
      <c r="J6" s="387"/>
      <c r="K6" s="387"/>
      <c r="L6" s="387"/>
      <c r="M6" s="22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13" ht="12.75">
      <c r="A7" s="221" t="s">
        <v>35</v>
      </c>
      <c r="B7" s="174" t="s">
        <v>89</v>
      </c>
      <c r="C7" s="385" t="s">
        <v>83</v>
      </c>
      <c r="D7" s="385"/>
      <c r="E7" s="205"/>
      <c r="F7" s="205"/>
      <c r="G7" s="174" t="s">
        <v>85</v>
      </c>
      <c r="H7" s="174"/>
      <c r="I7" s="173"/>
      <c r="J7" s="173"/>
      <c r="K7" s="173"/>
      <c r="L7" s="173" t="s">
        <v>85</v>
      </c>
      <c r="M7" s="105"/>
    </row>
    <row r="8" spans="1:13" ht="13.5" thickBot="1">
      <c r="A8" s="223" t="s">
        <v>141</v>
      </c>
      <c r="B8" s="175" t="s">
        <v>90</v>
      </c>
      <c r="C8" s="224" t="s">
        <v>84</v>
      </c>
      <c r="D8" s="224" t="s">
        <v>245</v>
      </c>
      <c r="E8" s="224" t="s">
        <v>46</v>
      </c>
      <c r="F8" s="224" t="s">
        <v>53</v>
      </c>
      <c r="G8" s="224" t="s">
        <v>87</v>
      </c>
      <c r="H8" s="224"/>
      <c r="I8" s="175" t="s">
        <v>83</v>
      </c>
      <c r="J8" s="175" t="s">
        <v>46</v>
      </c>
      <c r="K8" s="225" t="s">
        <v>53</v>
      </c>
      <c r="L8" s="224" t="s">
        <v>87</v>
      </c>
      <c r="M8" s="105"/>
    </row>
    <row r="9" spans="1:13" ht="12.75">
      <c r="A9" s="221" t="s">
        <v>0</v>
      </c>
      <c r="B9" s="112">
        <f aca="true" t="shared" si="0" ref="B9:G9">SUM(B11:B38)</f>
        <v>395540910.08</v>
      </c>
      <c r="C9" s="112">
        <f t="shared" si="0"/>
        <v>376081135.09000003</v>
      </c>
      <c r="D9" s="112">
        <f>SUM(D11:D38)</f>
        <v>19459774.990000002</v>
      </c>
      <c r="E9" s="112">
        <f t="shared" si="0"/>
        <v>0</v>
      </c>
      <c r="F9" s="112">
        <f t="shared" si="0"/>
        <v>0</v>
      </c>
      <c r="G9" s="112">
        <f t="shared" si="0"/>
        <v>0</v>
      </c>
      <c r="H9" s="112"/>
      <c r="I9" s="226">
        <f>IF(B9&lt;&gt;0,((+C9+D9)/B9),(IF(C9&lt;&gt;0,1,0)))</f>
        <v>1.0000000000000002</v>
      </c>
      <c r="J9" s="226">
        <f>IF($B9&lt;&gt;0,(E9/$B9),(IF(E9&lt;&gt;0,1,0)))</f>
        <v>0</v>
      </c>
      <c r="K9" s="226">
        <f>IF($B9&lt;&gt;0,(F9/$B9),(IF(F9&lt;&gt;0,1,0)))</f>
        <v>0</v>
      </c>
      <c r="L9" s="226">
        <f>IF($B9&lt;&gt;0,(G9/$B9),(IF(G9&lt;&gt;0,1,0)))</f>
        <v>0</v>
      </c>
      <c r="M9" s="105"/>
    </row>
    <row r="10" spans="1:13" ht="12.75">
      <c r="A10" s="221"/>
      <c r="B10" s="205"/>
      <c r="C10" s="205"/>
      <c r="D10" s="189"/>
      <c r="E10" s="173"/>
      <c r="F10" s="173"/>
      <c r="G10" s="173"/>
      <c r="H10" s="173"/>
      <c r="I10" s="228"/>
      <c r="J10" s="228"/>
      <c r="K10" s="206"/>
      <c r="L10" s="206"/>
      <c r="M10" s="105"/>
    </row>
    <row r="11" spans="1:12" ht="12.75">
      <c r="A11" s="105" t="s">
        <v>1</v>
      </c>
      <c r="B11" s="172">
        <f aca="true" t="shared" si="1" ref="B11:B29">SUM(C11:G11)</f>
        <v>1895293</v>
      </c>
      <c r="C11" s="209">
        <v>1895293</v>
      </c>
      <c r="D11" s="189">
        <v>0</v>
      </c>
      <c r="E11" s="189">
        <v>0</v>
      </c>
      <c r="F11" s="189">
        <v>0</v>
      </c>
      <c r="G11" s="189">
        <v>0</v>
      </c>
      <c r="H11" s="135"/>
      <c r="I11" s="137">
        <f aca="true" t="shared" si="2" ref="I11:I38">IF(B11&lt;&gt;0,((+C11+D11)/B11*100),(IF(C11&lt;&gt;0,1,0)))</f>
        <v>100</v>
      </c>
      <c r="J11" s="137">
        <f>IF($B11&lt;&gt;0,(E11/$B11*100),(IF(E11&lt;&gt;0,1,0)))</f>
        <v>0</v>
      </c>
      <c r="K11" s="137">
        <f aca="true" t="shared" si="3" ref="K11:L15">IF($B11&lt;&gt;0,(F11/$B11*100),(IF(F11&lt;&gt;0,1,0)))</f>
        <v>0</v>
      </c>
      <c r="L11" s="137">
        <f t="shared" si="3"/>
        <v>0</v>
      </c>
    </row>
    <row r="12" spans="1:12" ht="12.75">
      <c r="A12" s="134" t="s">
        <v>2</v>
      </c>
      <c r="B12" s="135">
        <f t="shared" si="1"/>
        <v>32352584</v>
      </c>
      <c r="C12" s="188">
        <v>32352584</v>
      </c>
      <c r="D12" s="189">
        <v>0</v>
      </c>
      <c r="E12" s="189">
        <v>0</v>
      </c>
      <c r="F12" s="189">
        <v>0</v>
      </c>
      <c r="G12" s="189">
        <v>0</v>
      </c>
      <c r="H12" s="138"/>
      <c r="I12" s="137">
        <f t="shared" si="2"/>
        <v>100</v>
      </c>
      <c r="J12" s="137">
        <f>IF($B12&lt;&gt;0,(E12/$B12*100),(IF(E12&lt;&gt;0,1,0)))</f>
        <v>0</v>
      </c>
      <c r="K12" s="137">
        <f t="shared" si="3"/>
        <v>0</v>
      </c>
      <c r="L12" s="137">
        <f t="shared" si="3"/>
        <v>0</v>
      </c>
    </row>
    <row r="13" spans="1:12" ht="12.75">
      <c r="A13" s="134" t="s">
        <v>246</v>
      </c>
      <c r="B13" s="135">
        <f>SUM(C13:G13)</f>
        <v>7726540.14</v>
      </c>
      <c r="C13" s="209">
        <v>7726540.14</v>
      </c>
      <c r="D13" s="189">
        <v>0</v>
      </c>
      <c r="E13" s="189">
        <v>0</v>
      </c>
      <c r="F13" s="189">
        <v>0</v>
      </c>
      <c r="G13" s="189">
        <v>0</v>
      </c>
      <c r="H13" s="138"/>
      <c r="I13" s="137">
        <f>IF(B13&lt;&gt;0,((+C13+D13)/B13*100),(IF(C13&lt;&gt;0,1,0)))</f>
        <v>100</v>
      </c>
      <c r="J13" s="137">
        <f>IF($B13&lt;&gt;0,(E13/$B13*100),(IF(E13&lt;&gt;0,1,0)))</f>
        <v>0</v>
      </c>
      <c r="K13" s="137">
        <f t="shared" si="3"/>
        <v>0</v>
      </c>
      <c r="L13" s="137">
        <f>IF($B13&lt;&gt;0,(G13/$B13*100),(IF(G13&lt;&gt;0,1,0)))</f>
        <v>0</v>
      </c>
    </row>
    <row r="14" spans="1:12" ht="12.75">
      <c r="A14" s="134" t="s">
        <v>4</v>
      </c>
      <c r="B14" s="135">
        <f t="shared" si="1"/>
        <v>26157688</v>
      </c>
      <c r="C14" s="188">
        <v>26157688</v>
      </c>
      <c r="D14" s="189">
        <v>0</v>
      </c>
      <c r="E14" s="189">
        <v>0</v>
      </c>
      <c r="F14" s="189">
        <v>0</v>
      </c>
      <c r="G14" s="189">
        <v>0</v>
      </c>
      <c r="H14" s="138"/>
      <c r="I14" s="137">
        <f t="shared" si="2"/>
        <v>100</v>
      </c>
      <c r="J14" s="137">
        <f>IF($B14&lt;&gt;0,(E14/$B14*100),(IF(E14&lt;&gt;0,1,0)))</f>
        <v>0</v>
      </c>
      <c r="K14" s="137">
        <f t="shared" si="3"/>
        <v>0</v>
      </c>
      <c r="L14" s="137">
        <f t="shared" si="3"/>
        <v>0</v>
      </c>
    </row>
    <row r="15" spans="1:12" ht="12.75">
      <c r="A15" s="134" t="s">
        <v>5</v>
      </c>
      <c r="B15" s="135">
        <f t="shared" si="1"/>
        <v>5330660</v>
      </c>
      <c r="C15" s="188">
        <v>5330660</v>
      </c>
      <c r="D15" s="189">
        <v>0</v>
      </c>
      <c r="E15" s="189">
        <v>0</v>
      </c>
      <c r="F15" s="189">
        <v>0</v>
      </c>
      <c r="G15" s="189">
        <v>0</v>
      </c>
      <c r="H15" s="138"/>
      <c r="I15" s="137">
        <f t="shared" si="2"/>
        <v>100</v>
      </c>
      <c r="J15" s="137">
        <f>IF($B15&lt;&gt;0,(E15/$B15*100),(IF(E15&lt;&gt;0,1,0)))</f>
        <v>0</v>
      </c>
      <c r="K15" s="137">
        <f t="shared" si="3"/>
        <v>0</v>
      </c>
      <c r="L15" s="137">
        <f t="shared" si="3"/>
        <v>0</v>
      </c>
    </row>
    <row r="16" spans="2:12" ht="12.75">
      <c r="B16" s="135"/>
      <c r="C16" s="209"/>
      <c r="D16" s="189"/>
      <c r="E16" s="189"/>
      <c r="F16" s="189"/>
      <c r="G16" s="189"/>
      <c r="H16" s="138"/>
      <c r="I16" s="137"/>
      <c r="J16" s="137"/>
      <c r="K16" s="137"/>
      <c r="L16" s="137"/>
    </row>
    <row r="17" spans="1:12" ht="12.75">
      <c r="A17" s="134" t="s">
        <v>6</v>
      </c>
      <c r="B17" s="135">
        <f t="shared" si="1"/>
        <v>990397.64</v>
      </c>
      <c r="C17" s="189">
        <v>0</v>
      </c>
      <c r="D17" s="189">
        <v>990397.64</v>
      </c>
      <c r="E17" s="189">
        <v>0</v>
      </c>
      <c r="F17" s="189">
        <v>0</v>
      </c>
      <c r="G17" s="189">
        <v>0</v>
      </c>
      <c r="H17" s="138"/>
      <c r="I17" s="137">
        <f t="shared" si="2"/>
        <v>100</v>
      </c>
      <c r="J17" s="137">
        <f>IF($B17&lt;&gt;0,(E17/$B17*100),(IF(E17&lt;&gt;0,1,0)))</f>
        <v>0</v>
      </c>
      <c r="K17" s="137">
        <f aca="true" t="shared" si="4" ref="K17:L21">IF($B17&lt;&gt;0,(F17/$B17*100),(IF(F17&lt;&gt;0,1,0)))</f>
        <v>0</v>
      </c>
      <c r="L17" s="137">
        <f t="shared" si="4"/>
        <v>0</v>
      </c>
    </row>
    <row r="18" spans="1:12" ht="12.75">
      <c r="A18" s="134" t="s">
        <v>7</v>
      </c>
      <c r="B18" s="135">
        <f t="shared" si="1"/>
        <v>9597762.78</v>
      </c>
      <c r="C18" s="209">
        <v>9597762.78</v>
      </c>
      <c r="D18" s="189">
        <v>0</v>
      </c>
      <c r="E18" s="189">
        <v>0</v>
      </c>
      <c r="F18" s="189">
        <v>0</v>
      </c>
      <c r="G18" s="189">
        <v>0</v>
      </c>
      <c r="H18" s="138"/>
      <c r="I18" s="137">
        <f t="shared" si="2"/>
        <v>100</v>
      </c>
      <c r="J18" s="137">
        <f>IF($B18&lt;&gt;0,(E18/$B18*100),(IF(E18&lt;&gt;0,1,0)))</f>
        <v>0</v>
      </c>
      <c r="K18" s="137">
        <f t="shared" si="4"/>
        <v>0</v>
      </c>
      <c r="L18" s="137">
        <f t="shared" si="4"/>
        <v>0</v>
      </c>
    </row>
    <row r="19" spans="1:12" ht="12.75">
      <c r="A19" s="134" t="s">
        <v>8</v>
      </c>
      <c r="B19" s="135">
        <f t="shared" si="1"/>
        <v>7950661</v>
      </c>
      <c r="C19" s="189">
        <v>0</v>
      </c>
      <c r="D19" s="189">
        <v>7950661</v>
      </c>
      <c r="E19" s="189">
        <v>0</v>
      </c>
      <c r="F19" s="189">
        <v>0</v>
      </c>
      <c r="G19" s="189">
        <v>0</v>
      </c>
      <c r="H19" s="138"/>
      <c r="I19" s="137">
        <f>IF(B19&lt;&gt;0,((+C19+D19)/B19*100),(IF(C19&lt;&gt;0,1,0)))</f>
        <v>100</v>
      </c>
      <c r="J19" s="137">
        <f>IF($B19&lt;&gt;0,(E19/$B19*100),(IF(E19&lt;&gt;0,1,0)))</f>
        <v>0</v>
      </c>
      <c r="K19" s="137">
        <f t="shared" si="4"/>
        <v>0</v>
      </c>
      <c r="L19" s="137">
        <f t="shared" si="4"/>
        <v>0</v>
      </c>
    </row>
    <row r="20" spans="1:12" ht="12.75">
      <c r="A20" s="134" t="s">
        <v>9</v>
      </c>
      <c r="B20" s="135">
        <f t="shared" si="1"/>
        <v>4263411</v>
      </c>
      <c r="C20" s="209">
        <v>4263411</v>
      </c>
      <c r="D20" s="189">
        <v>0</v>
      </c>
      <c r="E20" s="189">
        <v>0</v>
      </c>
      <c r="F20" s="189">
        <v>0</v>
      </c>
      <c r="G20" s="189">
        <v>0</v>
      </c>
      <c r="H20" s="138"/>
      <c r="I20" s="137">
        <f t="shared" si="2"/>
        <v>100</v>
      </c>
      <c r="J20" s="137">
        <f>IF($B20&lt;&gt;0,(E20/$B20*100),(IF(E20&lt;&gt;0,1,0)))</f>
        <v>0</v>
      </c>
      <c r="K20" s="137">
        <f t="shared" si="4"/>
        <v>0</v>
      </c>
      <c r="L20" s="137">
        <f t="shared" si="4"/>
        <v>0</v>
      </c>
    </row>
    <row r="21" spans="1:12" ht="12.75">
      <c r="A21" s="134" t="s">
        <v>10</v>
      </c>
      <c r="B21" s="135">
        <f t="shared" si="1"/>
        <v>1314433.17</v>
      </c>
      <c r="C21" s="209">
        <v>1314433.17</v>
      </c>
      <c r="D21" s="189">
        <v>0</v>
      </c>
      <c r="E21" s="189">
        <v>0</v>
      </c>
      <c r="F21" s="189">
        <v>0</v>
      </c>
      <c r="G21" s="189">
        <v>0</v>
      </c>
      <c r="H21" s="138"/>
      <c r="I21" s="137">
        <f t="shared" si="2"/>
        <v>100</v>
      </c>
      <c r="J21" s="137">
        <f>IF($B21&lt;&gt;0,(E21/$B21*100),(IF(E21&lt;&gt;0,1,0)))</f>
        <v>0</v>
      </c>
      <c r="K21" s="137">
        <f t="shared" si="4"/>
        <v>0</v>
      </c>
      <c r="L21" s="137">
        <f t="shared" si="4"/>
        <v>0</v>
      </c>
    </row>
    <row r="22" spans="2:12" ht="12.75">
      <c r="B22" s="135"/>
      <c r="C22" s="209"/>
      <c r="D22" s="189"/>
      <c r="E22" s="189"/>
      <c r="F22" s="189"/>
      <c r="G22" s="189"/>
      <c r="H22" s="138"/>
      <c r="I22" s="137"/>
      <c r="J22" s="137"/>
      <c r="K22" s="137"/>
      <c r="L22" s="137"/>
    </row>
    <row r="23" spans="1:12" ht="12.75">
      <c r="A23" s="134" t="s">
        <v>11</v>
      </c>
      <c r="B23" s="135">
        <f t="shared" si="1"/>
        <v>23762523</v>
      </c>
      <c r="C23" s="209">
        <v>23762523</v>
      </c>
      <c r="D23" s="189">
        <v>0</v>
      </c>
      <c r="E23" s="189">
        <v>0</v>
      </c>
      <c r="F23" s="189">
        <v>0</v>
      </c>
      <c r="G23" s="189">
        <v>0</v>
      </c>
      <c r="H23" s="138"/>
      <c r="I23" s="137">
        <f t="shared" si="2"/>
        <v>100</v>
      </c>
      <c r="J23" s="137">
        <f>IF($B23&lt;&gt;0,(E23/$B23*100),(IF(E23&lt;&gt;0,1,0)))</f>
        <v>0</v>
      </c>
      <c r="K23" s="137">
        <f aca="true" t="shared" si="5" ref="K23:L27">IF($B23&lt;&gt;0,(F23/$B23*100),(IF(F23&lt;&gt;0,1,0)))</f>
        <v>0</v>
      </c>
      <c r="L23" s="137">
        <f t="shared" si="5"/>
        <v>0</v>
      </c>
    </row>
    <row r="24" spans="1:12" ht="12.75">
      <c r="A24" s="134" t="s">
        <v>12</v>
      </c>
      <c r="B24" s="135">
        <f t="shared" si="1"/>
        <v>227424.35</v>
      </c>
      <c r="C24" s="189">
        <v>0</v>
      </c>
      <c r="D24" s="189">
        <v>227424.35</v>
      </c>
      <c r="E24" s="189">
        <v>0</v>
      </c>
      <c r="F24" s="189">
        <v>0</v>
      </c>
      <c r="G24" s="189">
        <v>0</v>
      </c>
      <c r="H24" s="138"/>
      <c r="I24" s="137">
        <f t="shared" si="2"/>
        <v>100</v>
      </c>
      <c r="J24" s="137">
        <f>IF($B24&lt;&gt;0,(E24/$B24*100),(IF(E24&lt;&gt;0,1,0)))</f>
        <v>0</v>
      </c>
      <c r="K24" s="137">
        <f t="shared" si="5"/>
        <v>0</v>
      </c>
      <c r="L24" s="137">
        <f t="shared" si="5"/>
        <v>0</v>
      </c>
    </row>
    <row r="25" spans="1:12" ht="12.75">
      <c r="A25" s="134" t="s">
        <v>13</v>
      </c>
      <c r="B25" s="135">
        <f t="shared" si="1"/>
        <v>11196145</v>
      </c>
      <c r="C25" s="209">
        <v>11196145</v>
      </c>
      <c r="D25" s="189">
        <v>0</v>
      </c>
      <c r="E25" s="189">
        <v>0</v>
      </c>
      <c r="F25" s="189">
        <v>0</v>
      </c>
      <c r="G25" s="189">
        <v>0</v>
      </c>
      <c r="H25" s="138"/>
      <c r="I25" s="137">
        <f>IF(B25&lt;&gt;0,((+C25+D25)/B25*100),(IF(C25&lt;&gt;0,1,0)))</f>
        <v>100</v>
      </c>
      <c r="J25" s="137">
        <f>IF($B25&lt;&gt;0,(E25/$B25*100),(IF(E25&lt;&gt;0,1,0)))</f>
        <v>0</v>
      </c>
      <c r="K25" s="137">
        <f t="shared" si="5"/>
        <v>0</v>
      </c>
      <c r="L25" s="137">
        <f t="shared" si="5"/>
        <v>0</v>
      </c>
    </row>
    <row r="26" spans="1:12" ht="12.75">
      <c r="A26" s="134" t="s">
        <v>14</v>
      </c>
      <c r="B26" s="135">
        <f t="shared" si="1"/>
        <v>32397834</v>
      </c>
      <c r="C26" s="340">
        <v>32397834</v>
      </c>
      <c r="D26" s="189">
        <v>0</v>
      </c>
      <c r="E26" s="189">
        <v>0</v>
      </c>
      <c r="F26" s="189">
        <v>0</v>
      </c>
      <c r="G26" s="189">
        <v>0</v>
      </c>
      <c r="H26" s="138"/>
      <c r="I26" s="137">
        <f t="shared" si="2"/>
        <v>100</v>
      </c>
      <c r="J26" s="137">
        <f>IF($B26&lt;&gt;0,(E26/$B26*100),(IF(E26&lt;&gt;0,1,0)))</f>
        <v>0</v>
      </c>
      <c r="K26" s="137">
        <f t="shared" si="5"/>
        <v>0</v>
      </c>
      <c r="L26" s="137">
        <f t="shared" si="5"/>
        <v>0</v>
      </c>
    </row>
    <row r="27" spans="1:12" ht="12.75">
      <c r="A27" s="134" t="s">
        <v>15</v>
      </c>
      <c r="B27" s="131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38"/>
      <c r="I27" s="137">
        <f t="shared" si="2"/>
        <v>0</v>
      </c>
      <c r="J27" s="137">
        <f>IF($B27&lt;&gt;0,(E27/$B27*100),(IF(E27&lt;&gt;0,1,0)))</f>
        <v>0</v>
      </c>
      <c r="K27" s="137">
        <f t="shared" si="5"/>
        <v>0</v>
      </c>
      <c r="L27" s="137">
        <f t="shared" si="5"/>
        <v>0</v>
      </c>
    </row>
    <row r="28" spans="2:12" ht="12.75">
      <c r="B28" s="135"/>
      <c r="C28" s="209"/>
      <c r="D28" s="189"/>
      <c r="E28" s="189"/>
      <c r="F28" s="189"/>
      <c r="G28" s="189"/>
      <c r="H28" s="138"/>
      <c r="I28" s="137"/>
      <c r="J28" s="137"/>
      <c r="K28" s="137"/>
      <c r="L28" s="137"/>
    </row>
    <row r="29" spans="1:12" ht="12.75">
      <c r="A29" s="134" t="s">
        <v>16</v>
      </c>
      <c r="B29" s="135">
        <f t="shared" si="1"/>
        <v>152457765</v>
      </c>
      <c r="C29" s="209">
        <v>149710501</v>
      </c>
      <c r="D29" s="188">
        <v>2747264</v>
      </c>
      <c r="E29" s="189">
        <v>0</v>
      </c>
      <c r="F29" s="189">
        <v>0</v>
      </c>
      <c r="G29" s="189">
        <v>0</v>
      </c>
      <c r="H29" s="138"/>
      <c r="I29" s="137">
        <f t="shared" si="2"/>
        <v>100</v>
      </c>
      <c r="J29" s="137">
        <f>IF($B29&lt;&gt;0,(E29/$B29*100),(IF(E29&lt;&gt;0,1,0)))</f>
        <v>0</v>
      </c>
      <c r="K29" s="137">
        <f aca="true" t="shared" si="6" ref="K29:L33">IF($B29&lt;&gt;0,(F29/$B29*100),(IF(F29&lt;&gt;0,1,0)))</f>
        <v>0</v>
      </c>
      <c r="L29" s="137">
        <f t="shared" si="6"/>
        <v>0</v>
      </c>
    </row>
    <row r="30" spans="1:12" ht="12.75">
      <c r="A30" s="134" t="s">
        <v>17</v>
      </c>
      <c r="B30" s="135">
        <f aca="true" t="shared" si="7" ref="B30:B38">SUM(C30:G30)</f>
        <v>46340626</v>
      </c>
      <c r="C30" s="209">
        <v>46340626</v>
      </c>
      <c r="D30" s="189">
        <v>0</v>
      </c>
      <c r="E30" s="189">
        <v>0</v>
      </c>
      <c r="F30" s="189">
        <v>0</v>
      </c>
      <c r="G30" s="189">
        <v>0</v>
      </c>
      <c r="H30" s="138"/>
      <c r="I30" s="137">
        <f t="shared" si="2"/>
        <v>100</v>
      </c>
      <c r="J30" s="137">
        <f>IF($B30&lt;&gt;0,(E30/$B30*100),(IF(E30&lt;&gt;0,1,0)))</f>
        <v>0</v>
      </c>
      <c r="K30" s="137">
        <f t="shared" si="6"/>
        <v>0</v>
      </c>
      <c r="L30" s="137">
        <f t="shared" si="6"/>
        <v>0</v>
      </c>
    </row>
    <row r="31" spans="1:12" ht="12.75">
      <c r="A31" s="134" t="s">
        <v>18</v>
      </c>
      <c r="B31" s="135">
        <f t="shared" si="7"/>
        <v>6154569</v>
      </c>
      <c r="C31" s="209">
        <v>6154569</v>
      </c>
      <c r="D31" s="189">
        <v>0</v>
      </c>
      <c r="E31" s="189">
        <v>0</v>
      </c>
      <c r="F31" s="189">
        <v>0</v>
      </c>
      <c r="G31" s="189">
        <v>0</v>
      </c>
      <c r="H31" s="138"/>
      <c r="I31" s="137">
        <f>IF(B31&lt;&gt;0,((+C31+D31)/B31*100),(IF(C31&lt;&gt;0,1,0)))</f>
        <v>100</v>
      </c>
      <c r="J31" s="137">
        <f>IF($B31&lt;&gt;0,(E31/$B31*100),(IF(E31&lt;&gt;0,1,0)))</f>
        <v>0</v>
      </c>
      <c r="K31" s="137">
        <f t="shared" si="6"/>
        <v>0</v>
      </c>
      <c r="L31" s="137">
        <f t="shared" si="6"/>
        <v>0</v>
      </c>
    </row>
    <row r="32" spans="1:12" ht="12.75">
      <c r="A32" s="134" t="s">
        <v>19</v>
      </c>
      <c r="B32" s="135">
        <f t="shared" si="7"/>
        <v>6474086</v>
      </c>
      <c r="C32" s="209">
        <v>6474086</v>
      </c>
      <c r="D32" s="189">
        <v>0</v>
      </c>
      <c r="E32" s="189">
        <v>0</v>
      </c>
      <c r="F32" s="189">
        <v>0</v>
      </c>
      <c r="G32" s="189">
        <v>0</v>
      </c>
      <c r="H32" s="138"/>
      <c r="I32" s="137">
        <f t="shared" si="2"/>
        <v>100</v>
      </c>
      <c r="J32" s="137">
        <f>IF($B32&lt;&gt;0,(E32/$B32*100),(IF(E32&lt;&gt;0,1,0)))</f>
        <v>0</v>
      </c>
      <c r="K32" s="137">
        <f t="shared" si="6"/>
        <v>0</v>
      </c>
      <c r="L32" s="137">
        <f t="shared" si="6"/>
        <v>0</v>
      </c>
    </row>
    <row r="33" spans="1:12" ht="12.75">
      <c r="A33" s="134" t="s">
        <v>20</v>
      </c>
      <c r="B33" s="131">
        <v>0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38"/>
      <c r="I33" s="137">
        <f t="shared" si="2"/>
        <v>0</v>
      </c>
      <c r="J33" s="137">
        <f>IF($B33&lt;&gt;0,(E33/$B33*100),(IF(E33&lt;&gt;0,1,0)))</f>
        <v>0</v>
      </c>
      <c r="K33" s="137">
        <f t="shared" si="6"/>
        <v>0</v>
      </c>
      <c r="L33" s="137">
        <f t="shared" si="6"/>
        <v>0</v>
      </c>
    </row>
    <row r="34" spans="2:12" ht="12.75">
      <c r="B34" s="135"/>
      <c r="C34" s="209"/>
      <c r="D34" s="189"/>
      <c r="E34" s="189"/>
      <c r="F34" s="189"/>
      <c r="G34" s="189"/>
      <c r="H34" s="138"/>
      <c r="I34" s="137"/>
      <c r="J34" s="137"/>
      <c r="K34" s="137"/>
      <c r="L34" s="137"/>
    </row>
    <row r="35" spans="1:12" ht="12.75">
      <c r="A35" s="134" t="s">
        <v>21</v>
      </c>
      <c r="B35" s="135">
        <f t="shared" si="7"/>
        <v>2463943</v>
      </c>
      <c r="C35" s="209">
        <v>2463943</v>
      </c>
      <c r="D35" s="189">
        <v>0</v>
      </c>
      <c r="E35" s="189">
        <v>0</v>
      </c>
      <c r="F35" s="189">
        <v>0</v>
      </c>
      <c r="G35" s="189">
        <v>0</v>
      </c>
      <c r="H35" s="138"/>
      <c r="I35" s="137">
        <f t="shared" si="2"/>
        <v>100</v>
      </c>
      <c r="J35" s="137">
        <f>IF($B35&lt;&gt;0,(E35/$B35*100),(IF(E35&lt;&gt;0,1,0)))</f>
        <v>0</v>
      </c>
      <c r="K35" s="137">
        <f aca="true" t="shared" si="8" ref="K35:L38">IF($B35&lt;&gt;0,(F35/$B35*100),(IF(F35&lt;&gt;0,1,0)))</f>
        <v>0</v>
      </c>
      <c r="L35" s="137">
        <f t="shared" si="8"/>
        <v>0</v>
      </c>
    </row>
    <row r="36" spans="1:12" ht="12.75">
      <c r="A36" s="134" t="s">
        <v>22</v>
      </c>
      <c r="B36" s="135">
        <f>SUM(C36:G36)</f>
        <v>4619313</v>
      </c>
      <c r="C36" s="209">
        <v>4619313</v>
      </c>
      <c r="D36" s="189">
        <v>0</v>
      </c>
      <c r="E36" s="189">
        <v>0</v>
      </c>
      <c r="F36" s="189">
        <v>0</v>
      </c>
      <c r="G36" s="189">
        <v>0</v>
      </c>
      <c r="H36" s="138"/>
      <c r="I36" s="137">
        <f>IF(B36&lt;&gt;0,((+C36+G36)/B36*100),(IF(C36&lt;&gt;0,1,0)))</f>
        <v>100</v>
      </c>
      <c r="J36" s="137">
        <f>IF($B36&lt;&gt;0,(E36/$B36*100),(IF(E36&lt;&gt;0,1,0)))</f>
        <v>0</v>
      </c>
      <c r="K36" s="137">
        <f t="shared" si="8"/>
        <v>0</v>
      </c>
      <c r="L36" s="137">
        <f t="shared" si="8"/>
        <v>0</v>
      </c>
    </row>
    <row r="37" spans="1:12" ht="12.75">
      <c r="A37" s="134" t="s">
        <v>23</v>
      </c>
      <c r="B37" s="138">
        <f t="shared" si="7"/>
        <v>7544028</v>
      </c>
      <c r="C37" s="209">
        <v>0</v>
      </c>
      <c r="D37" s="189">
        <v>7544028</v>
      </c>
      <c r="E37" s="189">
        <v>0</v>
      </c>
      <c r="F37" s="189">
        <v>0</v>
      </c>
      <c r="G37" s="189">
        <v>0</v>
      </c>
      <c r="H37" s="138"/>
      <c r="I37" s="137">
        <f t="shared" si="2"/>
        <v>100</v>
      </c>
      <c r="J37" s="137">
        <f>IF($B37&lt;&gt;0,(E37/$B37*100),(IF(E37&lt;&gt;0,1,0)))</f>
        <v>0</v>
      </c>
      <c r="K37" s="137">
        <f t="shared" si="8"/>
        <v>0</v>
      </c>
      <c r="L37" s="137">
        <f t="shared" si="8"/>
        <v>0</v>
      </c>
    </row>
    <row r="38" spans="1:12" ht="12.75">
      <c r="A38" s="140" t="s">
        <v>24</v>
      </c>
      <c r="B38" s="141">
        <f t="shared" si="7"/>
        <v>4323223</v>
      </c>
      <c r="C38" s="258">
        <v>4323223</v>
      </c>
      <c r="D38" s="192">
        <v>0</v>
      </c>
      <c r="E38" s="192">
        <v>0</v>
      </c>
      <c r="F38" s="192">
        <v>0</v>
      </c>
      <c r="G38" s="192">
        <v>0</v>
      </c>
      <c r="H38" s="141"/>
      <c r="I38" s="143">
        <f t="shared" si="2"/>
        <v>100</v>
      </c>
      <c r="J38" s="143">
        <f>IF($B38&lt;&gt;0,(E38/$B38*100),(IF(E38&lt;&gt;0,1,0)))</f>
        <v>0</v>
      </c>
      <c r="K38" s="143">
        <f t="shared" si="8"/>
        <v>0</v>
      </c>
      <c r="L38" s="143">
        <f t="shared" si="8"/>
        <v>0</v>
      </c>
    </row>
    <row r="39" spans="4:12" ht="12.75">
      <c r="D39" s="138"/>
      <c r="I39" s="211"/>
      <c r="J39" s="133"/>
      <c r="K39" s="133"/>
      <c r="L39" s="133"/>
    </row>
    <row r="40" spans="1:4" ht="12.75">
      <c r="A40" s="134" t="s">
        <v>248</v>
      </c>
      <c r="D40" s="138"/>
    </row>
    <row r="41" spans="1:4" ht="12.75">
      <c r="A41" s="134" t="s">
        <v>249</v>
      </c>
      <c r="D41" s="138"/>
    </row>
    <row r="42" spans="1:4" ht="12.75">
      <c r="A42" s="207" t="s">
        <v>265</v>
      </c>
      <c r="D42" s="138"/>
    </row>
    <row r="43" ht="12.75">
      <c r="D43" s="138"/>
    </row>
  </sheetData>
  <sheetProtection password="CAF5" sheet="1"/>
  <mergeCells count="6">
    <mergeCell ref="C7:D7"/>
    <mergeCell ref="A1:K1"/>
    <mergeCell ref="A3:K3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89" r:id="rId1"/>
  <headerFooter alignWithMargins="0">
    <oddFooter>&amp;L&amp;"Arial,Italic"&amp;9MSDE-DBS  10 / 2009&amp;C- 5 -&amp;R&amp;"Arial,Italic"&amp;9Selected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view="pageLayout" workbookViewId="0" topLeftCell="A1">
      <selection activeCell="H8" sqref="H8"/>
    </sheetView>
  </sheetViews>
  <sheetFormatPr defaultColWidth="9.140625" defaultRowHeight="12.75"/>
  <cols>
    <col min="1" max="1" width="14.140625" style="59" customWidth="1"/>
    <col min="2" max="2" width="14.421875" style="59" customWidth="1"/>
    <col min="3" max="3" width="13.421875" style="59" bestFit="1" customWidth="1"/>
    <col min="4" max="4" width="12.28125" style="59" customWidth="1"/>
    <col min="5" max="5" width="14.421875" style="59" customWidth="1"/>
    <col min="6" max="6" width="12.28125" style="59" bestFit="1" customWidth="1"/>
    <col min="7" max="7" width="15.7109375" style="59" customWidth="1"/>
    <col min="8" max="8" width="13.28125" style="59" customWidth="1"/>
    <col min="9" max="9" width="12.421875" style="59" customWidth="1"/>
    <col min="10" max="10" width="0.85546875" style="59" customWidth="1"/>
    <col min="11" max="11" width="11.28125" style="255" bestFit="1" customWidth="1"/>
    <col min="12" max="12" width="1.1484375" style="59" customWidth="1"/>
    <col min="13" max="13" width="8.8515625" style="59" customWidth="1"/>
    <col min="14" max="14" width="7.8515625" style="59" customWidth="1"/>
    <col min="15" max="15" width="8.7109375" style="59" customWidth="1"/>
    <col min="16" max="16" width="8.421875" style="59" customWidth="1"/>
    <col min="18" max="18" width="11.28125" style="0" bestFit="1" customWidth="1"/>
  </cols>
  <sheetData>
    <row r="1" spans="1:16" ht="12.75">
      <c r="A1" s="391" t="s">
        <v>95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229"/>
      <c r="L2" s="110"/>
      <c r="M2" s="110"/>
      <c r="N2" s="110"/>
      <c r="O2" s="110"/>
      <c r="P2" s="110"/>
    </row>
    <row r="3" spans="1:16" ht="12.75">
      <c r="A3" s="391" t="s">
        <v>262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ht="12.7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 ht="13.5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229"/>
      <c r="L5" s="110"/>
      <c r="M5" s="230"/>
      <c r="N5" s="230"/>
      <c r="O5" s="230"/>
      <c r="P5" s="230"/>
    </row>
    <row r="6" spans="1:42" ht="15" customHeight="1" thickTop="1">
      <c r="A6" s="231"/>
      <c r="B6" s="232"/>
      <c r="C6" s="395" t="s">
        <v>86</v>
      </c>
      <c r="D6" s="395"/>
      <c r="E6" s="395"/>
      <c r="F6" s="395"/>
      <c r="G6" s="395"/>
      <c r="H6" s="395"/>
      <c r="I6" s="395"/>
      <c r="J6" s="395"/>
      <c r="K6" s="233"/>
      <c r="L6" s="231"/>
      <c r="M6" s="393"/>
      <c r="N6" s="393"/>
      <c r="O6" s="393"/>
      <c r="P6" s="393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16" ht="12.75">
      <c r="A7" s="77" t="s">
        <v>83</v>
      </c>
      <c r="B7" s="234" t="s">
        <v>45</v>
      </c>
      <c r="C7" s="390" t="s">
        <v>83</v>
      </c>
      <c r="D7" s="390"/>
      <c r="E7" s="390"/>
      <c r="F7" s="390"/>
      <c r="G7" s="234"/>
      <c r="H7" s="390" t="s">
        <v>53</v>
      </c>
      <c r="I7" s="390"/>
      <c r="J7" s="234"/>
      <c r="K7" s="235"/>
      <c r="L7" s="234"/>
      <c r="M7" s="394" t="s">
        <v>88</v>
      </c>
      <c r="N7" s="394"/>
      <c r="O7" s="394"/>
      <c r="P7" s="394"/>
    </row>
    <row r="8" spans="1:16" ht="12.75">
      <c r="A8" s="77" t="s">
        <v>35</v>
      </c>
      <c r="B8" s="234" t="s">
        <v>89</v>
      </c>
      <c r="C8" s="234" t="s">
        <v>96</v>
      </c>
      <c r="D8" s="234" t="s">
        <v>38</v>
      </c>
      <c r="E8" s="388" t="s">
        <v>211</v>
      </c>
      <c r="F8" s="234"/>
      <c r="G8" s="234"/>
      <c r="H8" s="234" t="s">
        <v>118</v>
      </c>
      <c r="I8" s="234" t="s">
        <v>155</v>
      </c>
      <c r="J8" s="234"/>
      <c r="K8" s="234" t="s">
        <v>85</v>
      </c>
      <c r="L8" s="234"/>
      <c r="M8" s="236"/>
      <c r="N8" s="236"/>
      <c r="O8" s="236"/>
      <c r="P8" s="236" t="s">
        <v>85</v>
      </c>
    </row>
    <row r="9" spans="1:16" ht="13.5" thickBot="1">
      <c r="A9" s="237" t="s">
        <v>141</v>
      </c>
      <c r="B9" s="89" t="s">
        <v>90</v>
      </c>
      <c r="C9" s="96" t="s">
        <v>97</v>
      </c>
      <c r="D9" s="96" t="s">
        <v>98</v>
      </c>
      <c r="E9" s="389"/>
      <c r="F9" s="96" t="s">
        <v>119</v>
      </c>
      <c r="G9" s="89" t="s">
        <v>46</v>
      </c>
      <c r="H9" s="89" t="s">
        <v>97</v>
      </c>
      <c r="I9" s="89" t="s">
        <v>79</v>
      </c>
      <c r="J9" s="89"/>
      <c r="K9" s="96" t="s">
        <v>242</v>
      </c>
      <c r="L9" s="96"/>
      <c r="M9" s="238" t="s">
        <v>83</v>
      </c>
      <c r="N9" s="238" t="s">
        <v>46</v>
      </c>
      <c r="O9" s="238" t="s">
        <v>53</v>
      </c>
      <c r="P9" s="238" t="s">
        <v>87</v>
      </c>
    </row>
    <row r="10" spans="1:18" ht="12.75">
      <c r="A10" s="77" t="s">
        <v>0</v>
      </c>
      <c r="B10" s="212">
        <f aca="true" t="shared" si="0" ref="B10:I10">SUM(B12:B39)</f>
        <v>298196781.41</v>
      </c>
      <c r="C10" s="212">
        <f t="shared" si="0"/>
        <v>112410923.10000001</v>
      </c>
      <c r="D10" s="212">
        <f t="shared" si="0"/>
        <v>17903703.060000002</v>
      </c>
      <c r="E10" s="212">
        <f t="shared" si="0"/>
        <v>1275553.1900000002</v>
      </c>
      <c r="F10" s="212">
        <f t="shared" si="0"/>
        <v>15596225.700000001</v>
      </c>
      <c r="G10" s="239">
        <f t="shared" si="0"/>
        <v>7204459.58</v>
      </c>
      <c r="H10" s="212">
        <f t="shared" si="0"/>
        <v>128967741.82999997</v>
      </c>
      <c r="I10" s="212">
        <f t="shared" si="0"/>
        <v>13384099.93</v>
      </c>
      <c r="J10" s="212"/>
      <c r="K10" s="240">
        <f>SUM(K12:K39)</f>
        <v>1454075.0199999998</v>
      </c>
      <c r="L10" s="212"/>
      <c r="M10" s="241">
        <f>SUM(C10:F10)/B10</f>
        <v>0.4935881747416611</v>
      </c>
      <c r="N10" s="241">
        <f>+G10/B10</f>
        <v>0.024160084981247214</v>
      </c>
      <c r="O10" s="241">
        <f>(+H10+I10)/B10</f>
        <v>0.4773755138700709</v>
      </c>
      <c r="P10" s="241">
        <f>+K10/B10</f>
        <v>0.004876226407020627</v>
      </c>
      <c r="R10" s="67"/>
    </row>
    <row r="11" spans="1:18" ht="12.75">
      <c r="A11" s="77"/>
      <c r="B11" s="214"/>
      <c r="C11" s="95"/>
      <c r="D11" s="95"/>
      <c r="E11" s="95"/>
      <c r="F11" s="95"/>
      <c r="G11" s="100"/>
      <c r="H11" s="214"/>
      <c r="I11" s="101"/>
      <c r="J11" s="101"/>
      <c r="K11" s="242"/>
      <c r="L11" s="95"/>
      <c r="M11" s="243"/>
      <c r="N11" s="243"/>
      <c r="O11" s="243"/>
      <c r="P11" s="243"/>
      <c r="R11" s="48"/>
    </row>
    <row r="12" spans="1:18" ht="12.75">
      <c r="A12" s="110" t="s">
        <v>1</v>
      </c>
      <c r="B12" s="208">
        <f>SUM(C12:K12)</f>
        <v>4562487.81</v>
      </c>
      <c r="C12" s="208">
        <v>1170440.51</v>
      </c>
      <c r="D12" s="208">
        <v>543439.33</v>
      </c>
      <c r="E12" s="208">
        <v>0</v>
      </c>
      <c r="F12" s="208">
        <v>0</v>
      </c>
      <c r="G12" s="100">
        <v>222581.78</v>
      </c>
      <c r="H12" s="208">
        <v>2329249.1</v>
      </c>
      <c r="I12" s="208">
        <v>279005.21</v>
      </c>
      <c r="J12" s="244"/>
      <c r="K12" s="245">
        <v>17771.88</v>
      </c>
      <c r="L12" s="246"/>
      <c r="M12" s="243">
        <f>SUM(C12:F12)/B12*100</f>
        <v>37.564590008186784</v>
      </c>
      <c r="N12" s="243">
        <f>+G12/B12*100</f>
        <v>4.878517801453589</v>
      </c>
      <c r="O12" s="243">
        <f>(+H12+I12)/B12*100</f>
        <v>57.16737049210878</v>
      </c>
      <c r="P12" s="243">
        <f>+K12/B12*100</f>
        <v>0.3895216982508497</v>
      </c>
      <c r="Q12" s="45"/>
      <c r="R12" s="66"/>
    </row>
    <row r="13" spans="1:18" ht="12.75">
      <c r="A13" s="110" t="s">
        <v>2</v>
      </c>
      <c r="B13" s="208">
        <f aca="true" t="shared" si="1" ref="B13:B39">SUM(C13:K13)</f>
        <v>20310352</v>
      </c>
      <c r="C13" s="208">
        <v>11570012</v>
      </c>
      <c r="D13" s="208">
        <v>146923</v>
      </c>
      <c r="E13" s="208">
        <v>257072</v>
      </c>
      <c r="F13" s="208">
        <v>13883</v>
      </c>
      <c r="G13" s="100">
        <v>429768</v>
      </c>
      <c r="H13" s="208">
        <v>6668693</v>
      </c>
      <c r="I13" s="208">
        <v>1224001</v>
      </c>
      <c r="J13" s="244"/>
      <c r="K13" s="341">
        <v>0</v>
      </c>
      <c r="L13" s="247"/>
      <c r="M13" s="243">
        <f aca="true" t="shared" si="2" ref="M13:M39">SUM(C13:F13)/B13*100</f>
        <v>59.023546219189114</v>
      </c>
      <c r="N13" s="243">
        <f aca="true" t="shared" si="3" ref="N13:N39">+G13/B13*100</f>
        <v>2.1160046856893473</v>
      </c>
      <c r="O13" s="243">
        <f aca="true" t="shared" si="4" ref="O13:O39">(+H13+I13)/B13*100</f>
        <v>38.86044909512154</v>
      </c>
      <c r="P13" s="243">
        <f aca="true" t="shared" si="5" ref="P13:P39">+K13/B13*100</f>
        <v>0</v>
      </c>
      <c r="R13" s="66"/>
    </row>
    <row r="14" spans="1:18" ht="12.75">
      <c r="A14" s="110" t="s">
        <v>3</v>
      </c>
      <c r="B14" s="208">
        <f t="shared" si="1"/>
        <v>28014656.299999997</v>
      </c>
      <c r="C14" s="208">
        <v>0</v>
      </c>
      <c r="D14" s="208">
        <v>2542049.62</v>
      </c>
      <c r="E14" s="208">
        <v>0</v>
      </c>
      <c r="F14" s="248">
        <v>0</v>
      </c>
      <c r="G14" s="100">
        <v>919990.46</v>
      </c>
      <c r="H14" s="208">
        <v>24552616.22</v>
      </c>
      <c r="I14" s="208">
        <v>0</v>
      </c>
      <c r="J14" s="244"/>
      <c r="K14" s="245">
        <v>0</v>
      </c>
      <c r="L14" s="247"/>
      <c r="M14" s="243">
        <f t="shared" si="2"/>
        <v>9.073998955325397</v>
      </c>
      <c r="N14" s="243">
        <f t="shared" si="3"/>
        <v>3.283961259949493</v>
      </c>
      <c r="O14" s="243">
        <f t="shared" si="4"/>
        <v>87.64203978472511</v>
      </c>
      <c r="P14" s="243">
        <f t="shared" si="5"/>
        <v>0</v>
      </c>
      <c r="R14" s="66"/>
    </row>
    <row r="15" spans="1:18" ht="12.75">
      <c r="A15" s="110" t="s">
        <v>4</v>
      </c>
      <c r="B15" s="208">
        <f t="shared" si="1"/>
        <v>35644753</v>
      </c>
      <c r="C15" s="208">
        <v>10423972</v>
      </c>
      <c r="D15" s="208">
        <v>6636764</v>
      </c>
      <c r="E15" s="208">
        <v>20465</v>
      </c>
      <c r="F15" s="208">
        <v>205323</v>
      </c>
      <c r="G15" s="100">
        <v>906977</v>
      </c>
      <c r="H15" s="208">
        <v>15680933</v>
      </c>
      <c r="I15" s="208">
        <v>1725252</v>
      </c>
      <c r="J15" s="244"/>
      <c r="K15" s="245">
        <v>45067</v>
      </c>
      <c r="L15" s="247"/>
      <c r="M15" s="243">
        <f t="shared" si="2"/>
        <v>48.496686174259644</v>
      </c>
      <c r="N15" s="243">
        <f t="shared" si="3"/>
        <v>2.54448950733366</v>
      </c>
      <c r="O15" s="243">
        <f t="shared" si="4"/>
        <v>48.83239056250439</v>
      </c>
      <c r="P15" s="243">
        <f t="shared" si="5"/>
        <v>0.1264337559023063</v>
      </c>
      <c r="R15" s="66"/>
    </row>
    <row r="16" spans="1:18" ht="12.75">
      <c r="A16" s="110" t="s">
        <v>5</v>
      </c>
      <c r="B16" s="249">
        <f t="shared" si="1"/>
        <v>5670887.86</v>
      </c>
      <c r="C16" s="208">
        <v>1399657.35</v>
      </c>
      <c r="D16" s="208">
        <v>0</v>
      </c>
      <c r="E16" s="208">
        <v>49526.29</v>
      </c>
      <c r="F16" s="248">
        <v>2967499.17</v>
      </c>
      <c r="G16" s="100">
        <v>33671</v>
      </c>
      <c r="H16" s="208">
        <v>1008534.05</v>
      </c>
      <c r="I16" s="208">
        <v>212000</v>
      </c>
      <c r="J16" s="244"/>
      <c r="K16" s="245">
        <v>0</v>
      </c>
      <c r="L16" s="247"/>
      <c r="M16" s="243">
        <f t="shared" si="2"/>
        <v>77.88344469220381</v>
      </c>
      <c r="N16" s="243">
        <f t="shared" si="3"/>
        <v>0.5937518221353084</v>
      </c>
      <c r="O16" s="243">
        <f t="shared" si="4"/>
        <v>21.522803485660884</v>
      </c>
      <c r="P16" s="243">
        <f t="shared" si="5"/>
        <v>0</v>
      </c>
      <c r="R16" s="66"/>
    </row>
    <row r="17" spans="1:18" ht="12.75">
      <c r="A17" s="110"/>
      <c r="B17" s="208"/>
      <c r="C17" s="208"/>
      <c r="D17" s="208"/>
      <c r="E17" s="208"/>
      <c r="F17" s="248"/>
      <c r="G17" s="100"/>
      <c r="H17" s="208"/>
      <c r="I17" s="208"/>
      <c r="J17" s="244"/>
      <c r="K17" s="245"/>
      <c r="L17" s="247"/>
      <c r="M17" s="243"/>
      <c r="N17" s="243"/>
      <c r="O17" s="243"/>
      <c r="P17" s="243"/>
      <c r="R17" s="43"/>
    </row>
    <row r="18" spans="1:18" ht="12.75">
      <c r="A18" s="110" t="s">
        <v>6</v>
      </c>
      <c r="B18" s="208">
        <f t="shared" si="1"/>
        <v>2145223.04</v>
      </c>
      <c r="C18" s="208">
        <v>960519.75</v>
      </c>
      <c r="D18" s="208">
        <v>0</v>
      </c>
      <c r="E18" s="208">
        <v>4816.77</v>
      </c>
      <c r="F18" s="248">
        <v>1402.99</v>
      </c>
      <c r="G18" s="100">
        <v>47617.83</v>
      </c>
      <c r="H18" s="208">
        <v>1115783.05</v>
      </c>
      <c r="I18" s="208">
        <v>0</v>
      </c>
      <c r="J18" s="244"/>
      <c r="K18" s="245">
        <v>15082.65</v>
      </c>
      <c r="L18" s="247"/>
      <c r="M18" s="243">
        <f t="shared" si="2"/>
        <v>45.06475513147575</v>
      </c>
      <c r="N18" s="243">
        <f t="shared" si="3"/>
        <v>2.2197146456155905</v>
      </c>
      <c r="O18" s="243">
        <f t="shared" si="4"/>
        <v>52.0124494840406</v>
      </c>
      <c r="P18" s="243">
        <f t="shared" si="5"/>
        <v>0.7030807388680665</v>
      </c>
      <c r="R18" s="66"/>
    </row>
    <row r="19" spans="1:18" ht="12.75">
      <c r="A19" s="110" t="s">
        <v>7</v>
      </c>
      <c r="B19" s="208">
        <f t="shared" si="1"/>
        <v>6379419.2</v>
      </c>
      <c r="C19" s="208">
        <v>3965183.69</v>
      </c>
      <c r="D19" s="208">
        <v>252573.87</v>
      </c>
      <c r="E19" s="208">
        <v>21256.95</v>
      </c>
      <c r="F19" s="342">
        <v>53198.28</v>
      </c>
      <c r="G19" s="100">
        <v>58117.21</v>
      </c>
      <c r="H19" s="208">
        <v>1559718.65</v>
      </c>
      <c r="I19" s="208">
        <v>436617.45</v>
      </c>
      <c r="J19" s="244"/>
      <c r="K19" s="245">
        <v>32753.1</v>
      </c>
      <c r="L19" s="247"/>
      <c r="M19" s="243">
        <f t="shared" si="2"/>
        <v>67.28218753832638</v>
      </c>
      <c r="N19" s="243">
        <f t="shared" si="3"/>
        <v>0.9110109898405797</v>
      </c>
      <c r="O19" s="243">
        <f t="shared" si="4"/>
        <v>31.293383259717434</v>
      </c>
      <c r="P19" s="243">
        <f t="shared" si="5"/>
        <v>0.5134182121156107</v>
      </c>
      <c r="R19" s="66"/>
    </row>
    <row r="20" spans="1:18" ht="12.75">
      <c r="A20" s="110" t="s">
        <v>8</v>
      </c>
      <c r="B20" s="208">
        <f t="shared" si="1"/>
        <v>5644628.93</v>
      </c>
      <c r="C20" s="208">
        <v>2898792.98</v>
      </c>
      <c r="D20" s="208">
        <v>35021.4</v>
      </c>
      <c r="E20" s="208">
        <v>38293.8</v>
      </c>
      <c r="F20" s="248">
        <v>18743.06</v>
      </c>
      <c r="G20" s="100">
        <v>272036.03</v>
      </c>
      <c r="H20" s="208">
        <v>2138375.45</v>
      </c>
      <c r="I20" s="208">
        <v>243366.21</v>
      </c>
      <c r="J20" s="244"/>
      <c r="K20" s="245">
        <v>0</v>
      </c>
      <c r="L20" s="247"/>
      <c r="M20" s="243">
        <f t="shared" si="2"/>
        <v>52.98579015715742</v>
      </c>
      <c r="N20" s="243">
        <f t="shared" si="3"/>
        <v>4.819378445838778</v>
      </c>
      <c r="O20" s="243">
        <f t="shared" si="4"/>
        <v>42.19483139700381</v>
      </c>
      <c r="P20" s="243">
        <f t="shared" si="5"/>
        <v>0</v>
      </c>
      <c r="R20" s="66"/>
    </row>
    <row r="21" spans="1:18" ht="12.75">
      <c r="A21" s="110" t="s">
        <v>9</v>
      </c>
      <c r="B21" s="208">
        <f t="shared" si="1"/>
        <v>9931816.44</v>
      </c>
      <c r="C21" s="208">
        <v>5609000.75</v>
      </c>
      <c r="D21" s="208">
        <v>591776.96</v>
      </c>
      <c r="E21" s="208">
        <v>92527.42</v>
      </c>
      <c r="F21" s="248">
        <v>140010.72</v>
      </c>
      <c r="G21" s="100">
        <v>166431.01</v>
      </c>
      <c r="H21" s="208">
        <v>2844070.89</v>
      </c>
      <c r="I21" s="208">
        <v>487998.69</v>
      </c>
      <c r="J21" s="244"/>
      <c r="K21" s="343">
        <v>0</v>
      </c>
      <c r="L21" s="247"/>
      <c r="M21" s="243">
        <f t="shared" si="2"/>
        <v>64.77481625707533</v>
      </c>
      <c r="N21" s="243">
        <f t="shared" si="3"/>
        <v>1.6757358636805417</v>
      </c>
      <c r="O21" s="243">
        <f t="shared" si="4"/>
        <v>33.549447879244134</v>
      </c>
      <c r="P21" s="243">
        <f t="shared" si="5"/>
        <v>0</v>
      </c>
      <c r="R21" s="66"/>
    </row>
    <row r="22" spans="1:18" ht="12.75">
      <c r="A22" s="110" t="s">
        <v>10</v>
      </c>
      <c r="B22" s="208">
        <f t="shared" si="1"/>
        <v>2124820</v>
      </c>
      <c r="C22" s="208">
        <v>680292</v>
      </c>
      <c r="D22" s="208">
        <v>11858</v>
      </c>
      <c r="E22" s="208">
        <v>19457</v>
      </c>
      <c r="F22" s="248">
        <v>0</v>
      </c>
      <c r="G22" s="100">
        <v>109230</v>
      </c>
      <c r="H22" s="208">
        <v>1206755</v>
      </c>
      <c r="I22" s="208">
        <v>97228</v>
      </c>
      <c r="J22" s="244"/>
      <c r="K22" s="344">
        <v>0</v>
      </c>
      <c r="L22" s="247"/>
      <c r="M22" s="243">
        <f t="shared" si="2"/>
        <v>33.490225054357545</v>
      </c>
      <c r="N22" s="243">
        <f t="shared" si="3"/>
        <v>5.1406707391684945</v>
      </c>
      <c r="O22" s="243">
        <f t="shared" si="4"/>
        <v>61.369104206473956</v>
      </c>
      <c r="P22" s="243">
        <f t="shared" si="5"/>
        <v>0</v>
      </c>
      <c r="R22" s="66"/>
    </row>
    <row r="23" spans="1:18" ht="12.75">
      <c r="A23" s="110"/>
      <c r="B23" s="208"/>
      <c r="C23" s="208"/>
      <c r="D23" s="208"/>
      <c r="E23" s="208"/>
      <c r="F23" s="248"/>
      <c r="G23" s="100"/>
      <c r="H23" s="208"/>
      <c r="I23" s="208"/>
      <c r="J23" s="244"/>
      <c r="K23" s="344"/>
      <c r="L23" s="247"/>
      <c r="M23" s="243"/>
      <c r="N23" s="243"/>
      <c r="O23" s="243"/>
      <c r="P23" s="243"/>
      <c r="R23" s="43"/>
    </row>
    <row r="24" spans="1:18" ht="12.75">
      <c r="A24" s="110" t="s">
        <v>11</v>
      </c>
      <c r="B24" s="208">
        <f t="shared" si="1"/>
        <v>11756930</v>
      </c>
      <c r="C24" s="208">
        <v>6968193</v>
      </c>
      <c r="D24" s="325">
        <v>0</v>
      </c>
      <c r="E24" s="208">
        <v>939</v>
      </c>
      <c r="F24" s="248">
        <v>805072</v>
      </c>
      <c r="G24" s="100">
        <v>155791</v>
      </c>
      <c r="H24" s="208">
        <v>3220510</v>
      </c>
      <c r="I24" s="208">
        <v>606425</v>
      </c>
      <c r="J24" s="244"/>
      <c r="K24" s="344">
        <v>0</v>
      </c>
      <c r="L24" s="247"/>
      <c r="M24" s="243">
        <f t="shared" si="2"/>
        <v>66.12443894792263</v>
      </c>
      <c r="N24" s="243">
        <f t="shared" si="3"/>
        <v>1.325099324398461</v>
      </c>
      <c r="O24" s="243">
        <f t="shared" si="4"/>
        <v>32.55046172767891</v>
      </c>
      <c r="P24" s="243">
        <f t="shared" si="5"/>
        <v>0</v>
      </c>
      <c r="R24" s="66"/>
    </row>
    <row r="25" spans="1:18" ht="12.75">
      <c r="A25" s="110" t="s">
        <v>12</v>
      </c>
      <c r="B25" s="208">
        <f t="shared" si="1"/>
        <v>2288466</v>
      </c>
      <c r="C25" s="208">
        <v>474107</v>
      </c>
      <c r="D25" s="208">
        <v>708813</v>
      </c>
      <c r="E25" s="208">
        <v>2794</v>
      </c>
      <c r="F25" s="248">
        <v>0</v>
      </c>
      <c r="G25" s="100">
        <v>104109</v>
      </c>
      <c r="H25" s="208">
        <v>912259</v>
      </c>
      <c r="I25" s="208">
        <v>86324</v>
      </c>
      <c r="J25" s="244"/>
      <c r="K25" s="245">
        <v>60</v>
      </c>
      <c r="L25" s="247"/>
      <c r="M25" s="243">
        <f t="shared" si="2"/>
        <v>51.81261159221941</v>
      </c>
      <c r="N25" s="243">
        <f t="shared" si="3"/>
        <v>4.549291971128258</v>
      </c>
      <c r="O25" s="243">
        <f t="shared" si="4"/>
        <v>43.63547459302432</v>
      </c>
      <c r="P25" s="243">
        <f t="shared" si="5"/>
        <v>0.002621843628002339</v>
      </c>
      <c r="R25" s="66"/>
    </row>
    <row r="26" spans="1:18" ht="12.75">
      <c r="A26" s="110" t="s">
        <v>13</v>
      </c>
      <c r="B26" s="208">
        <f t="shared" si="1"/>
        <v>14362248</v>
      </c>
      <c r="C26" s="208">
        <v>8348372</v>
      </c>
      <c r="D26" s="208">
        <v>0</v>
      </c>
      <c r="E26" s="208">
        <v>84534</v>
      </c>
      <c r="F26" s="248">
        <v>701</v>
      </c>
      <c r="G26" s="100">
        <v>320785</v>
      </c>
      <c r="H26" s="208">
        <v>4210403</v>
      </c>
      <c r="I26" s="208">
        <v>807453</v>
      </c>
      <c r="J26" s="244"/>
      <c r="K26" s="245">
        <v>590000</v>
      </c>
      <c r="L26" s="247"/>
      <c r="M26" s="243">
        <f t="shared" si="2"/>
        <v>58.720661278095186</v>
      </c>
      <c r="N26" s="243">
        <f t="shared" si="3"/>
        <v>2.233529180111637</v>
      </c>
      <c r="O26" s="243">
        <f t="shared" si="4"/>
        <v>34.937817533856816</v>
      </c>
      <c r="P26" s="243">
        <f t="shared" si="5"/>
        <v>4.107992007936362</v>
      </c>
      <c r="R26" s="66"/>
    </row>
    <row r="27" spans="1:18" ht="12.75">
      <c r="A27" s="110" t="s">
        <v>14</v>
      </c>
      <c r="B27" s="208">
        <f t="shared" si="1"/>
        <v>12827773</v>
      </c>
      <c r="C27" s="208">
        <v>8416043</v>
      </c>
      <c r="D27" s="208">
        <v>0</v>
      </c>
      <c r="E27" s="208">
        <v>66277</v>
      </c>
      <c r="F27" s="248">
        <v>0</v>
      </c>
      <c r="G27" s="100">
        <v>99773</v>
      </c>
      <c r="H27" s="208">
        <v>2778179</v>
      </c>
      <c r="I27" s="208">
        <v>714726</v>
      </c>
      <c r="J27" s="244"/>
      <c r="K27" s="245">
        <v>752775</v>
      </c>
      <c r="L27" s="247"/>
      <c r="M27" s="243">
        <f t="shared" si="2"/>
        <v>66.12465000744868</v>
      </c>
      <c r="N27" s="243">
        <f t="shared" si="3"/>
        <v>0.7777889427884326</v>
      </c>
      <c r="O27" s="243">
        <f t="shared" si="4"/>
        <v>27.229239245190882</v>
      </c>
      <c r="P27" s="243">
        <f t="shared" si="5"/>
        <v>5.868321804572002</v>
      </c>
      <c r="R27" s="66"/>
    </row>
    <row r="28" spans="1:18" ht="12.75">
      <c r="A28" s="110" t="s">
        <v>15</v>
      </c>
      <c r="B28" s="208">
        <f t="shared" si="1"/>
        <v>1143857</v>
      </c>
      <c r="C28" s="208">
        <v>495065</v>
      </c>
      <c r="D28" s="208">
        <v>17971</v>
      </c>
      <c r="E28" s="208">
        <v>0</v>
      </c>
      <c r="F28" s="208">
        <v>0</v>
      </c>
      <c r="G28" s="100">
        <v>69389</v>
      </c>
      <c r="H28" s="208">
        <v>510087</v>
      </c>
      <c r="I28" s="208">
        <v>51345</v>
      </c>
      <c r="J28" s="244"/>
      <c r="K28" s="245">
        <v>0</v>
      </c>
      <c r="L28" s="247"/>
      <c r="M28" s="243">
        <f t="shared" si="2"/>
        <v>44.85141062213196</v>
      </c>
      <c r="N28" s="243">
        <f t="shared" si="3"/>
        <v>6.066230306760373</v>
      </c>
      <c r="O28" s="243">
        <f t="shared" si="4"/>
        <v>49.08235907110767</v>
      </c>
      <c r="P28" s="243">
        <f t="shared" si="5"/>
        <v>0</v>
      </c>
      <c r="R28" s="66"/>
    </row>
    <row r="29" spans="1:18" ht="12.75">
      <c r="A29" s="110"/>
      <c r="B29" s="208"/>
      <c r="C29" s="208"/>
      <c r="D29" s="208"/>
      <c r="E29" s="208"/>
      <c r="F29" s="248"/>
      <c r="G29" s="100"/>
      <c r="H29" s="208"/>
      <c r="I29" s="208"/>
      <c r="J29" s="244"/>
      <c r="K29" s="245"/>
      <c r="L29" s="247"/>
      <c r="M29" s="243"/>
      <c r="N29" s="243"/>
      <c r="O29" s="243"/>
      <c r="P29" s="243"/>
      <c r="R29" s="43"/>
    </row>
    <row r="30" spans="1:18" ht="12.75">
      <c r="A30" s="110" t="s">
        <v>16</v>
      </c>
      <c r="B30" s="208">
        <f t="shared" si="1"/>
        <v>42771358</v>
      </c>
      <c r="C30" s="208">
        <v>22219798</v>
      </c>
      <c r="D30" s="208">
        <v>0</v>
      </c>
      <c r="E30" s="208">
        <v>595610</v>
      </c>
      <c r="F30" s="248">
        <v>0</v>
      </c>
      <c r="G30" s="100">
        <v>1010545</v>
      </c>
      <c r="H30" s="208">
        <v>16424050</v>
      </c>
      <c r="I30" s="208">
        <v>2521355</v>
      </c>
      <c r="J30" s="244"/>
      <c r="K30" s="245">
        <v>0</v>
      </c>
      <c r="L30" s="247"/>
      <c r="M30" s="243">
        <f t="shared" si="2"/>
        <v>53.34272528826417</v>
      </c>
      <c r="N30" s="243">
        <f t="shared" si="3"/>
        <v>2.3626675589772015</v>
      </c>
      <c r="O30" s="243">
        <f t="shared" si="4"/>
        <v>44.29460715275863</v>
      </c>
      <c r="P30" s="243">
        <f t="shared" si="5"/>
        <v>0</v>
      </c>
      <c r="R30" s="66"/>
    </row>
    <row r="31" spans="1:18" ht="12.75">
      <c r="A31" s="110" t="s">
        <v>17</v>
      </c>
      <c r="B31" s="208">
        <f t="shared" si="1"/>
        <v>64190485</v>
      </c>
      <c r="C31" s="208">
        <v>17247757</v>
      </c>
      <c r="D31" s="208">
        <v>2441717</v>
      </c>
      <c r="E31" s="208">
        <v>0</v>
      </c>
      <c r="F31" s="208">
        <v>10995038</v>
      </c>
      <c r="G31" s="100">
        <v>1511937</v>
      </c>
      <c r="H31" s="208">
        <v>29241485</v>
      </c>
      <c r="I31" s="208">
        <v>2752551</v>
      </c>
      <c r="J31" s="244"/>
      <c r="K31" s="245">
        <v>0</v>
      </c>
      <c r="L31" s="247"/>
      <c r="M31" s="243">
        <f t="shared" si="2"/>
        <v>47.80227474523677</v>
      </c>
      <c r="N31" s="243">
        <f t="shared" si="3"/>
        <v>2.3553911455880105</v>
      </c>
      <c r="O31" s="243">
        <f t="shared" si="4"/>
        <v>49.84233410917521</v>
      </c>
      <c r="P31" s="243">
        <f t="shared" si="5"/>
        <v>0</v>
      </c>
      <c r="R31" s="66"/>
    </row>
    <row r="32" spans="1:18" ht="12.75">
      <c r="A32" s="110" t="s">
        <v>18</v>
      </c>
      <c r="B32" s="208">
        <f t="shared" si="1"/>
        <v>2292151.02</v>
      </c>
      <c r="C32" s="208">
        <v>845958.34</v>
      </c>
      <c r="D32" s="208">
        <v>637733.94</v>
      </c>
      <c r="E32" s="208">
        <v>1281.03</v>
      </c>
      <c r="F32" s="248">
        <v>160677.29</v>
      </c>
      <c r="G32" s="100">
        <v>39000.35</v>
      </c>
      <c r="H32" s="208">
        <v>607500.07</v>
      </c>
      <c r="I32" s="208">
        <v>0</v>
      </c>
      <c r="J32" s="244"/>
      <c r="K32" s="245">
        <v>0</v>
      </c>
      <c r="L32" s="247"/>
      <c r="M32" s="243">
        <f t="shared" si="2"/>
        <v>71.7950338193685</v>
      </c>
      <c r="N32" s="243">
        <f t="shared" si="3"/>
        <v>1.701473840933919</v>
      </c>
      <c r="O32" s="243">
        <f t="shared" si="4"/>
        <v>26.503492339697583</v>
      </c>
      <c r="P32" s="243">
        <f t="shared" si="5"/>
        <v>0</v>
      </c>
      <c r="R32" s="66"/>
    </row>
    <row r="33" spans="1:18" ht="12.75">
      <c r="A33" s="110" t="s">
        <v>19</v>
      </c>
      <c r="B33" s="208">
        <f t="shared" si="1"/>
        <v>5636063.71</v>
      </c>
      <c r="C33" s="208">
        <v>2358878.39</v>
      </c>
      <c r="D33" s="208">
        <v>946050.98</v>
      </c>
      <c r="E33" s="208">
        <v>16294.75</v>
      </c>
      <c r="F33" s="248">
        <v>0</v>
      </c>
      <c r="G33" s="100">
        <v>178755.99</v>
      </c>
      <c r="H33" s="208">
        <v>1910073.21</v>
      </c>
      <c r="I33" s="208">
        <v>225445</v>
      </c>
      <c r="J33" s="244"/>
      <c r="K33" s="245">
        <v>565.39</v>
      </c>
      <c r="L33" s="247"/>
      <c r="M33" s="243">
        <f t="shared" si="2"/>
        <v>58.928079789218714</v>
      </c>
      <c r="N33" s="243">
        <f t="shared" si="3"/>
        <v>3.171646013916333</v>
      </c>
      <c r="O33" s="243">
        <f t="shared" si="4"/>
        <v>37.890242550150305</v>
      </c>
      <c r="P33" s="243">
        <f t="shared" si="5"/>
        <v>0.010031646714653621</v>
      </c>
      <c r="R33" s="66"/>
    </row>
    <row r="34" spans="1:18" ht="12.75">
      <c r="A34" s="110" t="s">
        <v>20</v>
      </c>
      <c r="B34" s="208">
        <f t="shared" si="1"/>
        <v>1304487.58</v>
      </c>
      <c r="C34" s="208">
        <v>335491.67</v>
      </c>
      <c r="D34" s="208">
        <v>0</v>
      </c>
      <c r="E34" s="208">
        <v>229.12</v>
      </c>
      <c r="F34" s="208">
        <v>13273.75</v>
      </c>
      <c r="G34" s="100">
        <v>81653.55</v>
      </c>
      <c r="H34" s="208">
        <v>809995.49</v>
      </c>
      <c r="I34" s="208">
        <v>63844</v>
      </c>
      <c r="J34" s="244"/>
      <c r="K34" s="245">
        <v>0</v>
      </c>
      <c r="L34" s="247"/>
      <c r="M34" s="243">
        <f t="shared" si="2"/>
        <v>26.753381584514585</v>
      </c>
      <c r="N34" s="243">
        <f t="shared" si="3"/>
        <v>6.259434834941088</v>
      </c>
      <c r="O34" s="243">
        <f t="shared" si="4"/>
        <v>66.98718358054433</v>
      </c>
      <c r="P34" s="243">
        <f t="shared" si="5"/>
        <v>0</v>
      </c>
      <c r="R34" s="66"/>
    </row>
    <row r="35" spans="1:20" ht="12.75">
      <c r="A35" s="110"/>
      <c r="B35" s="208"/>
      <c r="C35" s="208"/>
      <c r="D35" s="208"/>
      <c r="E35" s="208"/>
      <c r="F35" s="248"/>
      <c r="G35" s="100"/>
      <c r="H35" s="208"/>
      <c r="I35" s="208"/>
      <c r="J35" s="244"/>
      <c r="K35" s="245"/>
      <c r="L35" s="247"/>
      <c r="M35" s="243"/>
      <c r="N35" s="243"/>
      <c r="O35" s="243"/>
      <c r="P35" s="243"/>
      <c r="R35" s="43"/>
      <c r="S35" s="3"/>
      <c r="T35" s="3"/>
    </row>
    <row r="36" spans="1:20" ht="12.75">
      <c r="A36" s="110" t="s">
        <v>21</v>
      </c>
      <c r="B36" s="208">
        <f t="shared" si="1"/>
        <v>1616343.4300000002</v>
      </c>
      <c r="C36" s="208">
        <v>391311.02</v>
      </c>
      <c r="D36" s="208">
        <v>466385.85</v>
      </c>
      <c r="E36" s="208">
        <v>0</v>
      </c>
      <c r="F36" s="248">
        <v>17117.56</v>
      </c>
      <c r="G36" s="100">
        <v>111748</v>
      </c>
      <c r="H36" s="208">
        <v>565477</v>
      </c>
      <c r="I36" s="208">
        <v>64304</v>
      </c>
      <c r="J36" s="244"/>
      <c r="K36" s="245">
        <v>0</v>
      </c>
      <c r="L36" s="247"/>
      <c r="M36" s="243">
        <f t="shared" si="2"/>
        <v>54.123054158112915</v>
      </c>
      <c r="N36" s="243">
        <f t="shared" si="3"/>
        <v>6.9136297352351646</v>
      </c>
      <c r="O36" s="243">
        <f t="shared" si="4"/>
        <v>38.96331610665191</v>
      </c>
      <c r="P36" s="243">
        <f t="shared" si="5"/>
        <v>0</v>
      </c>
      <c r="R36" s="66"/>
      <c r="S36" s="3"/>
      <c r="T36" s="3"/>
    </row>
    <row r="37" spans="1:20" ht="12.75">
      <c r="A37" s="110" t="s">
        <v>22</v>
      </c>
      <c r="B37" s="208">
        <f t="shared" si="1"/>
        <v>9352230</v>
      </c>
      <c r="C37" s="208">
        <v>4302308</v>
      </c>
      <c r="D37" s="208">
        <v>419050</v>
      </c>
      <c r="E37" s="208">
        <v>858</v>
      </c>
      <c r="F37" s="248">
        <v>0</v>
      </c>
      <c r="G37" s="100">
        <v>122446</v>
      </c>
      <c r="H37" s="208">
        <v>4043063</v>
      </c>
      <c r="I37" s="208">
        <v>464505</v>
      </c>
      <c r="J37" s="244"/>
      <c r="K37" s="245">
        <v>0</v>
      </c>
      <c r="L37" s="247"/>
      <c r="M37" s="243">
        <f t="shared" si="2"/>
        <v>50.4929412557219</v>
      </c>
      <c r="N37" s="243">
        <f t="shared" si="3"/>
        <v>1.3092706231561884</v>
      </c>
      <c r="O37" s="243">
        <f t="shared" si="4"/>
        <v>48.19778812112192</v>
      </c>
      <c r="P37" s="243">
        <f t="shared" si="5"/>
        <v>0</v>
      </c>
      <c r="R37" s="66"/>
      <c r="S37" s="3"/>
      <c r="T37" s="3"/>
    </row>
    <row r="38" spans="1:20" ht="12.75">
      <c r="A38" s="110" t="s">
        <v>23</v>
      </c>
      <c r="B38" s="208">
        <f t="shared" si="1"/>
        <v>5767481.600000001</v>
      </c>
      <c r="C38" s="208">
        <v>804756.25</v>
      </c>
      <c r="D38" s="208">
        <v>1094888.51</v>
      </c>
      <c r="E38" s="208">
        <v>0</v>
      </c>
      <c r="F38" s="248">
        <v>26502.5</v>
      </c>
      <c r="G38" s="100">
        <v>195687.37</v>
      </c>
      <c r="H38" s="208">
        <v>3325292.6</v>
      </c>
      <c r="I38" s="208">
        <v>320354.37</v>
      </c>
      <c r="J38" s="244"/>
      <c r="K38" s="245">
        <v>0</v>
      </c>
      <c r="L38" s="247"/>
      <c r="M38" s="243">
        <f t="shared" si="2"/>
        <v>33.39667802321207</v>
      </c>
      <c r="N38" s="243">
        <f t="shared" si="3"/>
        <v>3.392943117495164</v>
      </c>
      <c r="O38" s="243">
        <f t="shared" si="4"/>
        <v>63.21037885929276</v>
      </c>
      <c r="P38" s="243">
        <f t="shared" si="5"/>
        <v>0</v>
      </c>
      <c r="R38" s="66"/>
      <c r="S38" s="3"/>
      <c r="T38" s="3"/>
    </row>
    <row r="39" spans="1:20" ht="12.75">
      <c r="A39" s="250" t="s">
        <v>24</v>
      </c>
      <c r="B39" s="210">
        <f t="shared" si="1"/>
        <v>2457862.49</v>
      </c>
      <c r="C39" s="210">
        <v>525013.4</v>
      </c>
      <c r="D39" s="210">
        <v>410686.6</v>
      </c>
      <c r="E39" s="210">
        <v>3321.06</v>
      </c>
      <c r="F39" s="210">
        <v>177783.38</v>
      </c>
      <c r="G39" s="339">
        <v>36419</v>
      </c>
      <c r="H39" s="210">
        <v>1304639.05</v>
      </c>
      <c r="I39" s="210">
        <v>0</v>
      </c>
      <c r="J39" s="251"/>
      <c r="K39" s="345">
        <v>0</v>
      </c>
      <c r="L39" s="252"/>
      <c r="M39" s="253">
        <f t="shared" si="2"/>
        <v>45.438035876449696</v>
      </c>
      <c r="N39" s="253">
        <f t="shared" si="3"/>
        <v>1.4817346433404415</v>
      </c>
      <c r="O39" s="253">
        <f t="shared" si="4"/>
        <v>53.08022948020985</v>
      </c>
      <c r="P39" s="253">
        <f t="shared" si="5"/>
        <v>0</v>
      </c>
      <c r="R39" s="66"/>
      <c r="S39" s="3"/>
      <c r="T39" s="3"/>
    </row>
    <row r="40" spans="1:20" ht="12.75">
      <c r="A40" s="77"/>
      <c r="B40" s="110"/>
      <c r="C40" s="110"/>
      <c r="D40" s="110"/>
      <c r="E40" s="110"/>
      <c r="F40" s="110"/>
      <c r="G40" s="110"/>
      <c r="H40" s="110"/>
      <c r="I40" s="110"/>
      <c r="J40" s="247"/>
      <c r="K40" s="229"/>
      <c r="L40" s="110"/>
      <c r="M40" s="230"/>
      <c r="N40" s="243"/>
      <c r="O40" s="243"/>
      <c r="P40" s="243"/>
      <c r="R40" s="3"/>
      <c r="S40" s="3"/>
      <c r="T40" s="3"/>
    </row>
    <row r="41" spans="1:256" s="59" customFormat="1" ht="12.75">
      <c r="A41" s="331"/>
      <c r="B41" s="331"/>
      <c r="C41" s="331"/>
      <c r="D41" s="331"/>
      <c r="E41" s="331"/>
      <c r="F41" s="331"/>
      <c r="G41" s="331"/>
      <c r="H41" s="331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ht="12.75">
      <c r="A42" s="254" t="s">
        <v>239</v>
      </c>
      <c r="B42" s="254"/>
      <c r="C42" s="254"/>
      <c r="D42" s="254"/>
      <c r="E42" s="254"/>
      <c r="F42" s="254"/>
      <c r="G42" s="254"/>
      <c r="H42" s="204"/>
      <c r="I42" s="254"/>
      <c r="J42" s="254"/>
      <c r="K42" s="254"/>
      <c r="L42" s="254"/>
      <c r="M42" s="254"/>
      <c r="N42" s="254"/>
      <c r="O42" s="254"/>
      <c r="P42" s="254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9:16" ht="12.75">
      <c r="I43" s="218"/>
      <c r="J43" s="218"/>
      <c r="M43" s="256"/>
      <c r="N43" s="256"/>
      <c r="O43" s="256"/>
      <c r="P43" s="256"/>
    </row>
    <row r="44" spans="9:16" ht="12.75">
      <c r="I44" s="218"/>
      <c r="J44" s="218"/>
      <c r="M44" s="256"/>
      <c r="N44" s="256"/>
      <c r="O44" s="256"/>
      <c r="P44" s="256"/>
    </row>
    <row r="45" spans="13:16" ht="12.75">
      <c r="M45" s="256"/>
      <c r="N45" s="256"/>
      <c r="O45" s="256"/>
      <c r="P45" s="256"/>
    </row>
    <row r="46" spans="13:16" ht="12.75">
      <c r="M46" s="256"/>
      <c r="N46" s="256"/>
      <c r="O46" s="256"/>
      <c r="P46" s="256"/>
    </row>
    <row r="47" spans="13:16" ht="12.75">
      <c r="M47" s="256"/>
      <c r="N47" s="256"/>
      <c r="O47" s="256"/>
      <c r="P47" s="256"/>
    </row>
    <row r="48" spans="13:16" ht="12.75">
      <c r="M48" s="256"/>
      <c r="N48" s="256"/>
      <c r="O48" s="256"/>
      <c r="P48" s="256"/>
    </row>
    <row r="49" spans="13:16" ht="12.75">
      <c r="M49" s="256"/>
      <c r="N49" s="256"/>
      <c r="O49" s="256"/>
      <c r="P49" s="256"/>
    </row>
    <row r="50" spans="13:16" ht="12.75">
      <c r="M50" s="256"/>
      <c r="N50" s="256"/>
      <c r="O50" s="256"/>
      <c r="P50" s="256"/>
    </row>
    <row r="51" spans="13:16" ht="12.75">
      <c r="M51" s="256"/>
      <c r="N51" s="256"/>
      <c r="O51" s="256"/>
      <c r="P51" s="256"/>
    </row>
    <row r="52" spans="13:16" ht="12.75">
      <c r="M52" s="256"/>
      <c r="N52" s="256"/>
      <c r="O52" s="256"/>
      <c r="P52" s="256"/>
    </row>
    <row r="53" spans="13:16" ht="12.75">
      <c r="M53" s="256"/>
      <c r="N53" s="256"/>
      <c r="O53" s="256"/>
      <c r="P53" s="256"/>
    </row>
    <row r="54" spans="13:16" ht="12.75">
      <c r="M54" s="256"/>
      <c r="N54" s="256"/>
      <c r="O54" s="256"/>
      <c r="P54" s="256"/>
    </row>
    <row r="55" spans="13:16" ht="12.75">
      <c r="M55" s="256"/>
      <c r="N55" s="256"/>
      <c r="O55" s="256"/>
      <c r="P55" s="256"/>
    </row>
    <row r="56" spans="13:16" ht="12.75">
      <c r="M56" s="256"/>
      <c r="N56" s="256"/>
      <c r="O56" s="256"/>
      <c r="P56" s="256"/>
    </row>
    <row r="57" spans="13:16" ht="12.75">
      <c r="M57" s="256"/>
      <c r="N57" s="256"/>
      <c r="O57" s="256"/>
      <c r="P57" s="256"/>
    </row>
    <row r="58" spans="13:16" ht="12.75">
      <c r="M58" s="256"/>
      <c r="N58" s="256"/>
      <c r="O58" s="256"/>
      <c r="P58" s="256"/>
    </row>
    <row r="59" spans="13:16" ht="12.75">
      <c r="M59" s="256"/>
      <c r="N59" s="256"/>
      <c r="O59" s="256"/>
      <c r="P59" s="256"/>
    </row>
    <row r="60" spans="13:16" ht="12.75">
      <c r="M60" s="256"/>
      <c r="N60" s="256"/>
      <c r="O60" s="256"/>
      <c r="P60" s="256"/>
    </row>
    <row r="61" spans="13:16" ht="12.75">
      <c r="M61" s="256"/>
      <c r="N61" s="256"/>
      <c r="O61" s="256"/>
      <c r="P61" s="256"/>
    </row>
    <row r="62" spans="13:16" ht="12.75">
      <c r="M62" s="256"/>
      <c r="N62" s="256"/>
      <c r="O62" s="256"/>
      <c r="P62" s="256"/>
    </row>
    <row r="63" spans="13:16" ht="12.75">
      <c r="M63" s="256"/>
      <c r="N63" s="256"/>
      <c r="O63" s="256"/>
      <c r="P63" s="256"/>
    </row>
    <row r="64" spans="13:16" ht="12.75">
      <c r="M64" s="256"/>
      <c r="N64" s="256"/>
      <c r="O64" s="256"/>
      <c r="P64" s="256"/>
    </row>
    <row r="65" spans="13:16" ht="12.75">
      <c r="M65" s="256"/>
      <c r="N65" s="256"/>
      <c r="O65" s="256"/>
      <c r="P65" s="256"/>
    </row>
    <row r="66" spans="13:16" ht="12.75">
      <c r="M66" s="256"/>
      <c r="N66" s="256"/>
      <c r="O66" s="256"/>
      <c r="P66" s="256"/>
    </row>
    <row r="67" spans="13:16" ht="12.75">
      <c r="M67" s="256"/>
      <c r="N67" s="256"/>
      <c r="O67" s="256"/>
      <c r="P67" s="256"/>
    </row>
    <row r="68" spans="13:16" ht="12.75">
      <c r="M68" s="256"/>
      <c r="N68" s="256"/>
      <c r="O68" s="256"/>
      <c r="P68" s="256"/>
    </row>
    <row r="69" spans="13:16" ht="12.75">
      <c r="M69" s="256"/>
      <c r="N69" s="256"/>
      <c r="O69" s="256"/>
      <c r="P69" s="256"/>
    </row>
    <row r="70" spans="13:16" ht="12.75">
      <c r="M70" s="256"/>
      <c r="N70" s="256"/>
      <c r="O70" s="256"/>
      <c r="P70" s="256"/>
    </row>
    <row r="71" spans="13:16" ht="12.75">
      <c r="M71" s="256"/>
      <c r="N71" s="256"/>
      <c r="O71" s="256"/>
      <c r="P71" s="256"/>
    </row>
    <row r="72" spans="13:16" ht="12.75">
      <c r="M72" s="256"/>
      <c r="N72" s="256"/>
      <c r="O72" s="256"/>
      <c r="P72" s="256"/>
    </row>
    <row r="73" spans="13:16" ht="12.75">
      <c r="M73" s="256"/>
      <c r="N73" s="256"/>
      <c r="O73" s="256"/>
      <c r="P73" s="256"/>
    </row>
    <row r="74" spans="13:16" ht="12.75">
      <c r="M74" s="256"/>
      <c r="N74" s="256"/>
      <c r="O74" s="256"/>
      <c r="P74" s="256"/>
    </row>
    <row r="75" spans="13:16" ht="12.75">
      <c r="M75" s="256"/>
      <c r="N75" s="256"/>
      <c r="O75" s="256"/>
      <c r="P75" s="256"/>
    </row>
    <row r="76" spans="13:16" ht="12.75">
      <c r="M76" s="256"/>
      <c r="N76" s="256"/>
      <c r="O76" s="256"/>
      <c r="P76" s="256"/>
    </row>
    <row r="77" spans="13:16" ht="12.75">
      <c r="M77" s="256"/>
      <c r="N77" s="256"/>
      <c r="O77" s="256"/>
      <c r="P77" s="256"/>
    </row>
    <row r="78" spans="13:16" ht="12.75">
      <c r="M78" s="256"/>
      <c r="N78" s="256"/>
      <c r="O78" s="256"/>
      <c r="P78" s="256"/>
    </row>
    <row r="79" spans="13:16" ht="12.75">
      <c r="M79" s="256"/>
      <c r="N79" s="256"/>
      <c r="O79" s="256"/>
      <c r="P79" s="256"/>
    </row>
    <row r="80" spans="13:16" ht="12.75">
      <c r="M80" s="256"/>
      <c r="N80" s="256"/>
      <c r="O80" s="256"/>
      <c r="P80" s="256"/>
    </row>
    <row r="81" spans="13:16" ht="12.75">
      <c r="M81" s="256"/>
      <c r="N81" s="256"/>
      <c r="O81" s="256"/>
      <c r="P81" s="256"/>
    </row>
    <row r="82" spans="13:16" ht="12.75">
      <c r="M82" s="256"/>
      <c r="N82" s="256"/>
      <c r="O82" s="256"/>
      <c r="P82" s="256"/>
    </row>
    <row r="83" spans="13:16" ht="12.75">
      <c r="M83" s="256"/>
      <c r="N83" s="256"/>
      <c r="O83" s="256"/>
      <c r="P83" s="256"/>
    </row>
    <row r="84" spans="13:16" ht="12.75">
      <c r="M84" s="256"/>
      <c r="N84" s="256"/>
      <c r="O84" s="256"/>
      <c r="P84" s="256"/>
    </row>
    <row r="85" spans="13:16" ht="12.75">
      <c r="M85" s="256"/>
      <c r="N85" s="256"/>
      <c r="O85" s="256"/>
      <c r="P85" s="256"/>
    </row>
    <row r="86" spans="13:16" ht="12.75">
      <c r="M86" s="256"/>
      <c r="N86" s="256"/>
      <c r="O86" s="256"/>
      <c r="P86" s="256"/>
    </row>
    <row r="87" spans="13:16" ht="12.75">
      <c r="M87" s="256"/>
      <c r="N87" s="256"/>
      <c r="O87" s="256"/>
      <c r="P87" s="256"/>
    </row>
    <row r="88" spans="13:16" ht="12.75">
      <c r="M88" s="256"/>
      <c r="N88" s="256"/>
      <c r="O88" s="256"/>
      <c r="P88" s="256"/>
    </row>
    <row r="89" spans="13:16" ht="12.75">
      <c r="M89" s="256"/>
      <c r="N89" s="256"/>
      <c r="O89" s="256"/>
      <c r="P89" s="256"/>
    </row>
    <row r="90" spans="13:16" ht="12.75">
      <c r="M90" s="256"/>
      <c r="N90" s="256"/>
      <c r="O90" s="256"/>
      <c r="P90" s="256"/>
    </row>
    <row r="91" spans="13:16" ht="12.75">
      <c r="M91" s="256"/>
      <c r="N91" s="256"/>
      <c r="O91" s="256"/>
      <c r="P91" s="256"/>
    </row>
    <row r="92" spans="13:16" ht="12.75">
      <c r="M92" s="256"/>
      <c r="N92" s="256"/>
      <c r="O92" s="256"/>
      <c r="P92" s="256"/>
    </row>
    <row r="93" spans="13:16" ht="12.75">
      <c r="M93" s="256"/>
      <c r="N93" s="256"/>
      <c r="O93" s="256"/>
      <c r="P93" s="256"/>
    </row>
    <row r="94" spans="13:16" ht="12.75">
      <c r="M94" s="256"/>
      <c r="N94" s="256"/>
      <c r="O94" s="256"/>
      <c r="P94" s="256"/>
    </row>
    <row r="95" spans="13:16" ht="12.75">
      <c r="M95" s="256"/>
      <c r="N95" s="256"/>
      <c r="O95" s="256"/>
      <c r="P95" s="256"/>
    </row>
    <row r="96" spans="13:16" ht="12.75">
      <c r="M96" s="256"/>
      <c r="N96" s="256"/>
      <c r="O96" s="256"/>
      <c r="P96" s="256"/>
    </row>
    <row r="97" spans="13:16" ht="12.75">
      <c r="M97" s="256"/>
      <c r="N97" s="256"/>
      <c r="O97" s="256"/>
      <c r="P97" s="256"/>
    </row>
    <row r="98" spans="13:16" ht="12.75">
      <c r="M98" s="256"/>
      <c r="N98" s="256"/>
      <c r="O98" s="256"/>
      <c r="P98" s="256"/>
    </row>
    <row r="99" spans="13:16" ht="12.75">
      <c r="M99" s="256"/>
      <c r="N99" s="256"/>
      <c r="O99" s="256"/>
      <c r="P99" s="256"/>
    </row>
    <row r="100" spans="13:16" ht="12.75">
      <c r="M100" s="256"/>
      <c r="N100" s="256"/>
      <c r="O100" s="256"/>
      <c r="P100" s="256"/>
    </row>
    <row r="101" spans="13:16" ht="12.75">
      <c r="M101" s="256"/>
      <c r="N101" s="256"/>
      <c r="O101" s="256"/>
      <c r="P101" s="256"/>
    </row>
    <row r="102" spans="13:16" ht="12.75">
      <c r="M102" s="256"/>
      <c r="N102" s="256"/>
      <c r="O102" s="256"/>
      <c r="P102" s="256"/>
    </row>
    <row r="103" spans="13:16" ht="12.75">
      <c r="M103" s="256"/>
      <c r="N103" s="256"/>
      <c r="O103" s="256"/>
      <c r="P103" s="256"/>
    </row>
    <row r="104" spans="13:16" ht="12.75">
      <c r="M104" s="256"/>
      <c r="N104" s="256"/>
      <c r="O104" s="256"/>
      <c r="P104" s="256"/>
    </row>
    <row r="105" spans="13:16" ht="12.75">
      <c r="M105" s="256"/>
      <c r="N105" s="256"/>
      <c r="O105" s="256"/>
      <c r="P105" s="256"/>
    </row>
    <row r="106" spans="13:16" ht="12.75">
      <c r="M106" s="256"/>
      <c r="N106" s="256"/>
      <c r="O106" s="256"/>
      <c r="P106" s="256"/>
    </row>
    <row r="107" spans="13:16" ht="12.75">
      <c r="M107" s="256"/>
      <c r="N107" s="256"/>
      <c r="O107" s="256"/>
      <c r="P107" s="256"/>
    </row>
    <row r="108" spans="13:16" ht="12.75">
      <c r="M108" s="256"/>
      <c r="N108" s="256"/>
      <c r="O108" s="256"/>
      <c r="P108" s="256"/>
    </row>
    <row r="109" spans="13:16" ht="12.75">
      <c r="M109" s="256"/>
      <c r="N109" s="256"/>
      <c r="O109" s="256"/>
      <c r="P109" s="256"/>
    </row>
    <row r="110" spans="13:16" ht="12.75">
      <c r="M110" s="256"/>
      <c r="N110" s="256"/>
      <c r="O110" s="256"/>
      <c r="P110" s="256"/>
    </row>
    <row r="111" spans="13:16" ht="12.75">
      <c r="M111" s="256"/>
      <c r="N111" s="256"/>
      <c r="O111" s="256"/>
      <c r="P111" s="256"/>
    </row>
    <row r="112" spans="13:16" ht="12.75">
      <c r="M112" s="256"/>
      <c r="N112" s="256"/>
      <c r="O112" s="256"/>
      <c r="P112" s="256"/>
    </row>
    <row r="113" spans="13:16" ht="12.75">
      <c r="M113" s="256"/>
      <c r="N113" s="256"/>
      <c r="O113" s="256"/>
      <c r="P113" s="256"/>
    </row>
    <row r="114" spans="13:16" ht="12.75">
      <c r="M114" s="256"/>
      <c r="N114" s="256"/>
      <c r="O114" s="256"/>
      <c r="P114" s="256"/>
    </row>
    <row r="115" spans="13:16" ht="12.75">
      <c r="M115" s="256"/>
      <c r="N115" s="256"/>
      <c r="O115" s="256"/>
      <c r="P115" s="256"/>
    </row>
    <row r="116" spans="13:16" ht="12.75">
      <c r="M116" s="256"/>
      <c r="N116" s="256"/>
      <c r="O116" s="256"/>
      <c r="P116" s="256"/>
    </row>
    <row r="117" spans="13:16" ht="12.75">
      <c r="M117" s="256"/>
      <c r="N117" s="256"/>
      <c r="O117" s="256"/>
      <c r="P117" s="256"/>
    </row>
    <row r="118" spans="13:16" ht="12.75">
      <c r="M118" s="256"/>
      <c r="N118" s="256"/>
      <c r="O118" s="256"/>
      <c r="P118" s="256"/>
    </row>
    <row r="119" spans="13:16" ht="12.75">
      <c r="M119" s="256"/>
      <c r="N119" s="256"/>
      <c r="O119" s="256"/>
      <c r="P119" s="256"/>
    </row>
    <row r="120" spans="13:16" ht="12.75">
      <c r="M120" s="256"/>
      <c r="N120" s="256"/>
      <c r="O120" s="256"/>
      <c r="P120" s="256"/>
    </row>
    <row r="121" spans="13:16" ht="12.75">
      <c r="M121" s="256"/>
      <c r="N121" s="256"/>
      <c r="O121" s="256"/>
      <c r="P121" s="256"/>
    </row>
    <row r="122" spans="13:16" ht="12.75">
      <c r="M122" s="256"/>
      <c r="N122" s="256"/>
      <c r="O122" s="256"/>
      <c r="P122" s="256"/>
    </row>
    <row r="123" spans="13:16" ht="12.75">
      <c r="M123" s="256"/>
      <c r="N123" s="256"/>
      <c r="O123" s="256"/>
      <c r="P123" s="256"/>
    </row>
    <row r="124" spans="13:16" ht="12.75">
      <c r="M124" s="256"/>
      <c r="N124" s="256"/>
      <c r="O124" s="256"/>
      <c r="P124" s="256"/>
    </row>
    <row r="125" spans="13:16" ht="12.75">
      <c r="M125" s="256"/>
      <c r="N125" s="256"/>
      <c r="O125" s="256"/>
      <c r="P125" s="256"/>
    </row>
    <row r="126" spans="13:16" ht="12.75">
      <c r="M126" s="256"/>
      <c r="N126" s="256"/>
      <c r="O126" s="256"/>
      <c r="P126" s="256"/>
    </row>
    <row r="127" spans="13:16" ht="12.75">
      <c r="M127" s="256"/>
      <c r="N127" s="256"/>
      <c r="O127" s="256"/>
      <c r="P127" s="256"/>
    </row>
    <row r="128" spans="13:16" ht="12.75">
      <c r="M128" s="256"/>
      <c r="N128" s="256"/>
      <c r="O128" s="256"/>
      <c r="P128" s="256"/>
    </row>
    <row r="129" spans="13:16" ht="12.75">
      <c r="M129" s="256"/>
      <c r="N129" s="256"/>
      <c r="O129" s="256"/>
      <c r="P129" s="256"/>
    </row>
    <row r="130" spans="13:16" ht="12.75">
      <c r="M130" s="256"/>
      <c r="N130" s="256"/>
      <c r="O130" s="256"/>
      <c r="P130" s="256"/>
    </row>
    <row r="131" spans="13:16" ht="12.75">
      <c r="M131" s="256"/>
      <c r="N131" s="256"/>
      <c r="O131" s="256"/>
      <c r="P131" s="256"/>
    </row>
    <row r="132" spans="13:16" ht="12.75">
      <c r="M132" s="256"/>
      <c r="N132" s="256"/>
      <c r="O132" s="256"/>
      <c r="P132" s="256"/>
    </row>
    <row r="133" spans="13:16" ht="12.75">
      <c r="M133" s="256"/>
      <c r="N133" s="256"/>
      <c r="O133" s="256"/>
      <c r="P133" s="256"/>
    </row>
    <row r="134" spans="13:16" ht="12.75">
      <c r="M134" s="256"/>
      <c r="N134" s="256"/>
      <c r="O134" s="256"/>
      <c r="P134" s="256"/>
    </row>
    <row r="135" spans="13:16" ht="12.75">
      <c r="M135" s="256"/>
      <c r="N135" s="256"/>
      <c r="O135" s="256"/>
      <c r="P135" s="256"/>
    </row>
    <row r="136" spans="13:16" ht="12.75">
      <c r="M136" s="256"/>
      <c r="N136" s="256"/>
      <c r="O136" s="256"/>
      <c r="P136" s="256"/>
    </row>
    <row r="137" spans="13:16" ht="12.75">
      <c r="M137" s="256"/>
      <c r="N137" s="256"/>
      <c r="O137" s="256"/>
      <c r="P137" s="256"/>
    </row>
    <row r="138" spans="13:16" ht="12.75">
      <c r="M138" s="256"/>
      <c r="N138" s="256"/>
      <c r="O138" s="256"/>
      <c r="P138" s="256"/>
    </row>
    <row r="139" spans="13:16" ht="12.75">
      <c r="M139" s="256"/>
      <c r="N139" s="256"/>
      <c r="O139" s="256"/>
      <c r="P139" s="256"/>
    </row>
    <row r="140" spans="13:16" ht="12.75">
      <c r="M140" s="256"/>
      <c r="N140" s="256"/>
      <c r="O140" s="256"/>
      <c r="P140" s="256"/>
    </row>
    <row r="141" spans="13:16" ht="12.75">
      <c r="M141" s="256"/>
      <c r="N141" s="256"/>
      <c r="O141" s="256"/>
      <c r="P141" s="256"/>
    </row>
    <row r="142" spans="13:16" ht="12.75">
      <c r="M142" s="256"/>
      <c r="N142" s="256"/>
      <c r="O142" s="256"/>
      <c r="P142" s="256"/>
    </row>
    <row r="143" spans="13:16" ht="12.75">
      <c r="M143" s="256"/>
      <c r="N143" s="256"/>
      <c r="O143" s="256"/>
      <c r="P143" s="256"/>
    </row>
    <row r="144" spans="13:16" ht="12.75">
      <c r="M144" s="256"/>
      <c r="N144" s="256"/>
      <c r="O144" s="256"/>
      <c r="P144" s="256"/>
    </row>
    <row r="145" spans="13:16" ht="12.75">
      <c r="M145" s="256"/>
      <c r="N145" s="256"/>
      <c r="O145" s="256"/>
      <c r="P145" s="256"/>
    </row>
    <row r="146" spans="13:16" ht="12.75">
      <c r="M146" s="256"/>
      <c r="N146" s="256"/>
      <c r="O146" s="256"/>
      <c r="P146" s="256"/>
    </row>
    <row r="147" spans="13:16" ht="12.75">
      <c r="M147" s="256"/>
      <c r="N147" s="256"/>
      <c r="O147" s="256"/>
      <c r="P147" s="256"/>
    </row>
    <row r="148" spans="13:16" ht="12.75">
      <c r="M148" s="256"/>
      <c r="N148" s="256"/>
      <c r="O148" s="256"/>
      <c r="P148" s="256"/>
    </row>
    <row r="149" spans="13:16" ht="12.75">
      <c r="M149" s="256"/>
      <c r="N149" s="256"/>
      <c r="O149" s="256"/>
      <c r="P149" s="256"/>
    </row>
    <row r="150" spans="13:16" ht="12.75">
      <c r="M150" s="256"/>
      <c r="N150" s="256"/>
      <c r="O150" s="256"/>
      <c r="P150" s="256"/>
    </row>
    <row r="151" spans="13:16" ht="12.75">
      <c r="M151" s="256"/>
      <c r="N151" s="256"/>
      <c r="O151" s="256"/>
      <c r="P151" s="256"/>
    </row>
    <row r="152" spans="13:16" ht="12.75">
      <c r="M152" s="256"/>
      <c r="N152" s="256"/>
      <c r="O152" s="256"/>
      <c r="P152" s="256"/>
    </row>
    <row r="153" spans="13:16" ht="12.75">
      <c r="M153" s="256"/>
      <c r="N153" s="256"/>
      <c r="O153" s="256"/>
      <c r="P153" s="256"/>
    </row>
    <row r="154" spans="13:16" ht="12.75">
      <c r="M154" s="256"/>
      <c r="N154" s="256"/>
      <c r="O154" s="256"/>
      <c r="P154" s="256"/>
    </row>
    <row r="155" spans="13:16" ht="12.75">
      <c r="M155" s="256"/>
      <c r="N155" s="256"/>
      <c r="O155" s="256"/>
      <c r="P155" s="256"/>
    </row>
    <row r="156" spans="13:16" ht="12.75">
      <c r="M156" s="256"/>
      <c r="N156" s="256"/>
      <c r="O156" s="256"/>
      <c r="P156" s="256"/>
    </row>
    <row r="157" spans="13:16" ht="12.75">
      <c r="M157" s="256"/>
      <c r="N157" s="256"/>
      <c r="O157" s="256"/>
      <c r="P157" s="256"/>
    </row>
    <row r="158" spans="13:16" ht="12.75">
      <c r="M158" s="256"/>
      <c r="N158" s="256"/>
      <c r="O158" s="256"/>
      <c r="P158" s="256"/>
    </row>
    <row r="159" spans="13:16" ht="12.75">
      <c r="M159" s="256"/>
      <c r="N159" s="256"/>
      <c r="O159" s="256"/>
      <c r="P159" s="256"/>
    </row>
    <row r="160" spans="13:16" ht="12.75">
      <c r="M160" s="256"/>
      <c r="N160" s="256"/>
      <c r="O160" s="256"/>
      <c r="P160" s="256"/>
    </row>
    <row r="161" spans="13:16" ht="12.75">
      <c r="M161" s="256"/>
      <c r="N161" s="256"/>
      <c r="O161" s="256"/>
      <c r="P161" s="256"/>
    </row>
    <row r="162" spans="13:16" ht="12.75">
      <c r="M162" s="256"/>
      <c r="N162" s="256"/>
      <c r="O162" s="256"/>
      <c r="P162" s="256"/>
    </row>
    <row r="163" spans="13:16" ht="12.75">
      <c r="M163" s="256"/>
      <c r="N163" s="256"/>
      <c r="O163" s="256"/>
      <c r="P163" s="256"/>
    </row>
    <row r="164" spans="13:16" ht="12.75">
      <c r="M164" s="256"/>
      <c r="N164" s="256"/>
      <c r="O164" s="256"/>
      <c r="P164" s="256"/>
    </row>
    <row r="165" spans="13:16" ht="12.75">
      <c r="M165" s="256"/>
      <c r="N165" s="256"/>
      <c r="O165" s="256"/>
      <c r="P165" s="256"/>
    </row>
    <row r="166" spans="13:16" ht="12.75">
      <c r="M166" s="256"/>
      <c r="N166" s="256"/>
      <c r="O166" s="256"/>
      <c r="P166" s="256"/>
    </row>
    <row r="167" spans="13:16" ht="12.75">
      <c r="M167" s="256"/>
      <c r="N167" s="256"/>
      <c r="O167" s="256"/>
      <c r="P167" s="256"/>
    </row>
    <row r="168" spans="13:16" ht="12.75">
      <c r="M168" s="256"/>
      <c r="N168" s="256"/>
      <c r="O168" s="256"/>
      <c r="P168" s="256"/>
    </row>
    <row r="169" spans="13:16" ht="12.75">
      <c r="M169" s="256"/>
      <c r="N169" s="256"/>
      <c r="O169" s="256"/>
      <c r="P169" s="256"/>
    </row>
    <row r="170" spans="13:16" ht="12.75">
      <c r="M170" s="256"/>
      <c r="N170" s="256"/>
      <c r="O170" s="256"/>
      <c r="P170" s="256"/>
    </row>
    <row r="171" spans="13:16" ht="12.75">
      <c r="M171" s="256"/>
      <c r="N171" s="256"/>
      <c r="O171" s="256"/>
      <c r="P171" s="256"/>
    </row>
    <row r="172" spans="13:16" ht="12.75">
      <c r="M172" s="256"/>
      <c r="N172" s="256"/>
      <c r="O172" s="256"/>
      <c r="P172" s="256"/>
    </row>
    <row r="173" spans="13:16" ht="12.75">
      <c r="M173" s="256"/>
      <c r="N173" s="256"/>
      <c r="O173" s="256"/>
      <c r="P173" s="256"/>
    </row>
    <row r="174" spans="13:16" ht="12.75">
      <c r="M174" s="256"/>
      <c r="N174" s="256"/>
      <c r="O174" s="256"/>
      <c r="P174" s="256"/>
    </row>
    <row r="175" spans="13:16" ht="12.75">
      <c r="M175" s="256"/>
      <c r="N175" s="256"/>
      <c r="O175" s="256"/>
      <c r="P175" s="256"/>
    </row>
    <row r="176" spans="13:16" ht="12.75">
      <c r="M176" s="256"/>
      <c r="N176" s="256"/>
      <c r="O176" s="256"/>
      <c r="P176" s="256"/>
    </row>
    <row r="177" spans="13:16" ht="12.75">
      <c r="M177" s="256"/>
      <c r="N177" s="256"/>
      <c r="O177" s="256"/>
      <c r="P177" s="256"/>
    </row>
    <row r="178" spans="13:16" ht="12.75">
      <c r="M178" s="256"/>
      <c r="N178" s="256"/>
      <c r="O178" s="256"/>
      <c r="P178" s="256"/>
    </row>
    <row r="179" spans="13:16" ht="12.75">
      <c r="M179" s="256"/>
      <c r="N179" s="256"/>
      <c r="O179" s="256"/>
      <c r="P179" s="256"/>
    </row>
    <row r="180" spans="13:16" ht="12.75">
      <c r="M180" s="256"/>
      <c r="N180" s="256"/>
      <c r="O180" s="256"/>
      <c r="P180" s="256"/>
    </row>
    <row r="181" spans="13:16" ht="12.75">
      <c r="M181" s="256"/>
      <c r="N181" s="256"/>
      <c r="O181" s="256"/>
      <c r="P181" s="256"/>
    </row>
    <row r="182" spans="13:16" ht="12.75">
      <c r="M182" s="256"/>
      <c r="N182" s="256"/>
      <c r="O182" s="256"/>
      <c r="P182" s="256"/>
    </row>
    <row r="183" spans="13:16" ht="12.75">
      <c r="M183" s="256"/>
      <c r="N183" s="256"/>
      <c r="O183" s="256"/>
      <c r="P183" s="256"/>
    </row>
    <row r="184" spans="13:16" ht="12.75">
      <c r="M184" s="256"/>
      <c r="N184" s="256"/>
      <c r="O184" s="256"/>
      <c r="P184" s="256"/>
    </row>
    <row r="185" spans="13:16" ht="12.75">
      <c r="M185" s="256"/>
      <c r="N185" s="256"/>
      <c r="O185" s="256"/>
      <c r="P185" s="256"/>
    </row>
    <row r="186" spans="13:16" ht="12.75">
      <c r="M186" s="256"/>
      <c r="N186" s="256"/>
      <c r="O186" s="256"/>
      <c r="P186" s="256"/>
    </row>
    <row r="187" spans="13:16" ht="12.75">
      <c r="M187" s="256"/>
      <c r="N187" s="256"/>
      <c r="O187" s="256"/>
      <c r="P187" s="256"/>
    </row>
    <row r="188" spans="13:16" ht="12.75">
      <c r="M188" s="256"/>
      <c r="N188" s="256"/>
      <c r="O188" s="256"/>
      <c r="P188" s="256"/>
    </row>
    <row r="189" spans="13:16" ht="12.75">
      <c r="M189" s="256"/>
      <c r="N189" s="256"/>
      <c r="O189" s="256"/>
      <c r="P189" s="256"/>
    </row>
    <row r="190" spans="13:16" ht="12.75">
      <c r="M190" s="256"/>
      <c r="N190" s="256"/>
      <c r="O190" s="256"/>
      <c r="P190" s="256"/>
    </row>
    <row r="191" spans="13:16" ht="12.75">
      <c r="M191" s="256"/>
      <c r="N191" s="256"/>
      <c r="O191" s="256"/>
      <c r="P191" s="256"/>
    </row>
    <row r="192" spans="13:16" ht="12.75">
      <c r="M192" s="256"/>
      <c r="N192" s="256"/>
      <c r="O192" s="256"/>
      <c r="P192" s="256"/>
    </row>
    <row r="193" spans="13:16" ht="12.75">
      <c r="M193" s="256"/>
      <c r="N193" s="256"/>
      <c r="O193" s="256"/>
      <c r="P193" s="256"/>
    </row>
    <row r="194" spans="13:16" ht="12.75">
      <c r="M194" s="256"/>
      <c r="N194" s="256"/>
      <c r="O194" s="256"/>
      <c r="P194" s="256"/>
    </row>
    <row r="195" spans="13:16" ht="12.75">
      <c r="M195" s="256"/>
      <c r="N195" s="256"/>
      <c r="O195" s="256"/>
      <c r="P195" s="256"/>
    </row>
    <row r="196" spans="13:16" ht="12.75">
      <c r="M196" s="256"/>
      <c r="N196" s="256"/>
      <c r="O196" s="256"/>
      <c r="P196" s="256"/>
    </row>
    <row r="197" spans="13:16" ht="12.75">
      <c r="M197" s="256"/>
      <c r="N197" s="256"/>
      <c r="O197" s="256"/>
      <c r="P197" s="256"/>
    </row>
    <row r="198" spans="13:16" ht="12.75">
      <c r="M198" s="256"/>
      <c r="N198" s="256"/>
      <c r="O198" s="256"/>
      <c r="P198" s="256"/>
    </row>
    <row r="199" spans="13:16" ht="12.75">
      <c r="M199" s="256"/>
      <c r="N199" s="256"/>
      <c r="O199" s="256"/>
      <c r="P199" s="256"/>
    </row>
    <row r="200" spans="13:16" ht="12.75">
      <c r="M200" s="256"/>
      <c r="N200" s="256"/>
      <c r="O200" s="256"/>
      <c r="P200" s="256"/>
    </row>
    <row r="201" spans="13:16" ht="12.75">
      <c r="M201" s="256"/>
      <c r="N201" s="256"/>
      <c r="O201" s="256"/>
      <c r="P201" s="256"/>
    </row>
    <row r="202" spans="13:16" ht="12.75">
      <c r="M202" s="256"/>
      <c r="N202" s="256"/>
      <c r="O202" s="256"/>
      <c r="P202" s="256"/>
    </row>
    <row r="203" spans="13:16" ht="12.75">
      <c r="M203" s="256"/>
      <c r="N203" s="256"/>
      <c r="O203" s="256"/>
      <c r="P203" s="256"/>
    </row>
    <row r="204" spans="13:16" ht="12.75">
      <c r="M204" s="256"/>
      <c r="N204" s="256"/>
      <c r="O204" s="256"/>
      <c r="P204" s="256"/>
    </row>
    <row r="205" spans="13:16" ht="12.75">
      <c r="M205" s="256"/>
      <c r="N205" s="256"/>
      <c r="O205" s="256"/>
      <c r="P205" s="256"/>
    </row>
    <row r="206" spans="13:16" ht="12.75">
      <c r="M206" s="256"/>
      <c r="N206" s="256"/>
      <c r="O206" s="256"/>
      <c r="P206" s="256"/>
    </row>
    <row r="207" spans="13:16" ht="12.75">
      <c r="M207" s="256"/>
      <c r="N207" s="256"/>
      <c r="O207" s="256"/>
      <c r="P207" s="256"/>
    </row>
    <row r="208" spans="13:16" ht="12.75">
      <c r="M208" s="256"/>
      <c r="N208" s="256"/>
      <c r="O208" s="256"/>
      <c r="P208" s="256"/>
    </row>
    <row r="209" spans="13:16" ht="12.75">
      <c r="M209" s="256"/>
      <c r="N209" s="256"/>
      <c r="O209" s="256"/>
      <c r="P209" s="256"/>
    </row>
    <row r="210" spans="13:16" ht="12.75">
      <c r="M210" s="256"/>
      <c r="N210" s="256"/>
      <c r="O210" s="256"/>
      <c r="P210" s="256"/>
    </row>
    <row r="211" spans="13:16" ht="12.75">
      <c r="M211" s="256"/>
      <c r="N211" s="256"/>
      <c r="O211" s="256"/>
      <c r="P211" s="256"/>
    </row>
    <row r="212" spans="13:16" ht="12.75">
      <c r="M212" s="256"/>
      <c r="N212" s="256"/>
      <c r="O212" s="256"/>
      <c r="P212" s="256"/>
    </row>
    <row r="213" spans="13:16" ht="12.75">
      <c r="M213" s="256"/>
      <c r="N213" s="256"/>
      <c r="O213" s="256"/>
      <c r="P213" s="256"/>
    </row>
    <row r="214" spans="13:16" ht="12.75">
      <c r="M214" s="256"/>
      <c r="N214" s="256"/>
      <c r="O214" s="256"/>
      <c r="P214" s="256"/>
    </row>
    <row r="215" spans="13:16" ht="12.75">
      <c r="M215" s="256"/>
      <c r="N215" s="256"/>
      <c r="O215" s="256"/>
      <c r="P215" s="256"/>
    </row>
    <row r="216" spans="13:16" ht="12.75">
      <c r="M216" s="256"/>
      <c r="N216" s="256"/>
      <c r="O216" s="256"/>
      <c r="P216" s="256"/>
    </row>
    <row r="217" spans="13:16" ht="12.75">
      <c r="M217" s="256"/>
      <c r="N217" s="256"/>
      <c r="O217" s="256"/>
      <c r="P217" s="256"/>
    </row>
    <row r="218" spans="13:16" ht="12.75">
      <c r="M218" s="256"/>
      <c r="N218" s="256"/>
      <c r="O218" s="256"/>
      <c r="P218" s="256"/>
    </row>
    <row r="219" spans="13:16" ht="12.75">
      <c r="M219" s="256"/>
      <c r="N219" s="256"/>
      <c r="O219" s="256"/>
      <c r="P219" s="256"/>
    </row>
    <row r="220" spans="13:16" ht="12.75">
      <c r="M220" s="256"/>
      <c r="N220" s="256"/>
      <c r="O220" s="256"/>
      <c r="P220" s="256"/>
    </row>
    <row r="221" spans="13:16" ht="12.75">
      <c r="M221" s="256"/>
      <c r="N221" s="256"/>
      <c r="O221" s="256"/>
      <c r="P221" s="256"/>
    </row>
    <row r="222" spans="13:16" ht="12.75">
      <c r="M222" s="256"/>
      <c r="N222" s="256"/>
      <c r="O222" s="256"/>
      <c r="P222" s="256"/>
    </row>
    <row r="223" spans="13:16" ht="12.75">
      <c r="M223" s="256"/>
      <c r="N223" s="256"/>
      <c r="O223" s="256"/>
      <c r="P223" s="256"/>
    </row>
    <row r="224" spans="13:16" ht="12.75">
      <c r="M224" s="256"/>
      <c r="N224" s="256"/>
      <c r="O224" s="256"/>
      <c r="P224" s="256"/>
    </row>
    <row r="225" spans="13:16" ht="12.75">
      <c r="M225" s="256"/>
      <c r="N225" s="256"/>
      <c r="O225" s="256"/>
      <c r="P225" s="256"/>
    </row>
    <row r="226" spans="13:16" ht="12.75">
      <c r="M226" s="256"/>
      <c r="N226" s="256"/>
      <c r="O226" s="256"/>
      <c r="P226" s="256"/>
    </row>
    <row r="227" spans="13:16" ht="12.75">
      <c r="M227" s="256"/>
      <c r="N227" s="256"/>
      <c r="O227" s="256"/>
      <c r="P227" s="256"/>
    </row>
    <row r="228" spans="13:16" ht="12.75">
      <c r="M228" s="256"/>
      <c r="N228" s="256"/>
      <c r="O228" s="256"/>
      <c r="P228" s="256"/>
    </row>
    <row r="229" spans="13:16" ht="12.75">
      <c r="M229" s="256"/>
      <c r="N229" s="256"/>
      <c r="O229" s="256"/>
      <c r="P229" s="256"/>
    </row>
    <row r="230" spans="13:16" ht="12.75">
      <c r="M230" s="256"/>
      <c r="N230" s="256"/>
      <c r="O230" s="256"/>
      <c r="P230" s="256"/>
    </row>
    <row r="231" spans="13:16" ht="12.75">
      <c r="M231" s="256"/>
      <c r="N231" s="256"/>
      <c r="O231" s="256"/>
      <c r="P231" s="256"/>
    </row>
    <row r="232" spans="13:16" ht="12.75">
      <c r="M232" s="256"/>
      <c r="N232" s="256"/>
      <c r="O232" s="256"/>
      <c r="P232" s="256"/>
    </row>
    <row r="233" spans="13:16" ht="12.75">
      <c r="M233" s="256"/>
      <c r="N233" s="256"/>
      <c r="O233" s="256"/>
      <c r="P233" s="256"/>
    </row>
    <row r="234" spans="13:16" ht="12.75">
      <c r="M234" s="256"/>
      <c r="N234" s="256"/>
      <c r="O234" s="256"/>
      <c r="P234" s="256"/>
    </row>
    <row r="235" spans="13:16" ht="12.75">
      <c r="M235" s="256"/>
      <c r="N235" s="256"/>
      <c r="O235" s="256"/>
      <c r="P235" s="256"/>
    </row>
    <row r="236" spans="13:16" ht="12.75">
      <c r="M236" s="256"/>
      <c r="N236" s="256"/>
      <c r="O236" s="256"/>
      <c r="P236" s="256"/>
    </row>
    <row r="237" spans="13:16" ht="12.75">
      <c r="M237" s="256"/>
      <c r="N237" s="256"/>
      <c r="O237" s="256"/>
      <c r="P237" s="256"/>
    </row>
    <row r="238" spans="13:16" ht="12.75">
      <c r="M238" s="256"/>
      <c r="N238" s="256"/>
      <c r="O238" s="256"/>
      <c r="P238" s="256"/>
    </row>
    <row r="239" spans="13:16" ht="12.75">
      <c r="M239" s="256"/>
      <c r="N239" s="256"/>
      <c r="O239" s="256"/>
      <c r="P239" s="256"/>
    </row>
    <row r="240" spans="13:16" ht="12.75">
      <c r="M240" s="256"/>
      <c r="N240" s="256"/>
      <c r="O240" s="256"/>
      <c r="P240" s="256"/>
    </row>
    <row r="241" spans="13:16" ht="12.75">
      <c r="M241" s="256"/>
      <c r="N241" s="256"/>
      <c r="O241" s="256"/>
      <c r="P241" s="256"/>
    </row>
    <row r="242" spans="13:16" ht="12.75">
      <c r="M242" s="256"/>
      <c r="N242" s="256"/>
      <c r="O242" s="256"/>
      <c r="P242" s="256"/>
    </row>
    <row r="243" spans="13:16" ht="12.75">
      <c r="M243" s="256"/>
      <c r="N243" s="256"/>
      <c r="O243" s="256"/>
      <c r="P243" s="256"/>
    </row>
    <row r="244" spans="13:16" ht="12.75">
      <c r="M244" s="256"/>
      <c r="N244" s="256"/>
      <c r="O244" s="256"/>
      <c r="P244" s="256"/>
    </row>
    <row r="245" spans="13:16" ht="12.75">
      <c r="M245" s="256"/>
      <c r="N245" s="256"/>
      <c r="O245" s="256"/>
      <c r="P245" s="256"/>
    </row>
    <row r="246" spans="13:16" ht="12.75">
      <c r="M246" s="256"/>
      <c r="N246" s="256"/>
      <c r="O246" s="256"/>
      <c r="P246" s="256"/>
    </row>
    <row r="247" spans="13:16" ht="12.75">
      <c r="M247" s="256"/>
      <c r="N247" s="256"/>
      <c r="O247" s="256"/>
      <c r="P247" s="256"/>
    </row>
    <row r="248" spans="13:16" ht="12.75">
      <c r="M248" s="256"/>
      <c r="N248" s="256"/>
      <c r="O248" s="256"/>
      <c r="P248" s="256"/>
    </row>
    <row r="249" spans="13:16" ht="12.75">
      <c r="M249" s="256"/>
      <c r="N249" s="256"/>
      <c r="O249" s="256"/>
      <c r="P249" s="256"/>
    </row>
    <row r="250" spans="13:16" ht="12.75">
      <c r="M250" s="256"/>
      <c r="N250" s="256"/>
      <c r="O250" s="256"/>
      <c r="P250" s="256"/>
    </row>
    <row r="251" spans="13:16" ht="12.75">
      <c r="M251" s="256"/>
      <c r="N251" s="256"/>
      <c r="O251" s="256"/>
      <c r="P251" s="256"/>
    </row>
    <row r="252" spans="13:16" ht="12.75">
      <c r="M252" s="256"/>
      <c r="N252" s="256"/>
      <c r="O252" s="256"/>
      <c r="P252" s="256"/>
    </row>
    <row r="253" spans="13:16" ht="12.75">
      <c r="M253" s="256"/>
      <c r="N253" s="256"/>
      <c r="O253" s="256"/>
      <c r="P253" s="256"/>
    </row>
    <row r="254" spans="13:16" ht="12.75">
      <c r="M254" s="256"/>
      <c r="N254" s="256"/>
      <c r="O254" s="256"/>
      <c r="P254" s="256"/>
    </row>
    <row r="255" spans="13:16" ht="12.75">
      <c r="M255" s="256"/>
      <c r="N255" s="256"/>
      <c r="O255" s="256"/>
      <c r="P255" s="256"/>
    </row>
    <row r="256" spans="13:16" ht="12.75">
      <c r="M256" s="256"/>
      <c r="N256" s="256"/>
      <c r="O256" s="256"/>
      <c r="P256" s="256"/>
    </row>
    <row r="257" spans="13:16" ht="12.75">
      <c r="M257" s="256"/>
      <c r="N257" s="256"/>
      <c r="O257" s="256"/>
      <c r="P257" s="256"/>
    </row>
    <row r="258" spans="13:16" ht="12.75">
      <c r="M258" s="256"/>
      <c r="N258" s="256"/>
      <c r="O258" s="256"/>
      <c r="P258" s="256"/>
    </row>
    <row r="259" spans="13:16" ht="12.75">
      <c r="M259" s="256"/>
      <c r="N259" s="256"/>
      <c r="O259" s="256"/>
      <c r="P259" s="256"/>
    </row>
    <row r="260" spans="13:16" ht="12.75">
      <c r="M260" s="256"/>
      <c r="N260" s="256"/>
      <c r="O260" s="256"/>
      <c r="P260" s="256"/>
    </row>
    <row r="261" spans="13:16" ht="12.75">
      <c r="M261" s="256"/>
      <c r="N261" s="256"/>
      <c r="O261" s="256"/>
      <c r="P261" s="256"/>
    </row>
    <row r="262" spans="13:16" ht="12.75">
      <c r="M262" s="256"/>
      <c r="N262" s="256"/>
      <c r="O262" s="256"/>
      <c r="P262" s="256"/>
    </row>
    <row r="263" spans="13:16" ht="12.75">
      <c r="M263" s="256"/>
      <c r="N263" s="256"/>
      <c r="O263" s="256"/>
      <c r="P263" s="256"/>
    </row>
    <row r="264" spans="13:16" ht="12.75">
      <c r="M264" s="256"/>
      <c r="N264" s="256"/>
      <c r="O264" s="256"/>
      <c r="P264" s="256"/>
    </row>
    <row r="265" spans="13:16" ht="12.75">
      <c r="M265" s="256"/>
      <c r="N265" s="256"/>
      <c r="O265" s="256"/>
      <c r="P265" s="256"/>
    </row>
    <row r="266" spans="13:16" ht="12.75">
      <c r="M266" s="256"/>
      <c r="N266" s="256"/>
      <c r="O266" s="256"/>
      <c r="P266" s="256"/>
    </row>
    <row r="267" spans="13:16" ht="12.75">
      <c r="M267" s="256"/>
      <c r="N267" s="256"/>
      <c r="O267" s="256"/>
      <c r="P267" s="256"/>
    </row>
    <row r="268" spans="13:16" ht="12.75">
      <c r="M268" s="256"/>
      <c r="N268" s="256"/>
      <c r="O268" s="256"/>
      <c r="P268" s="256"/>
    </row>
    <row r="269" spans="13:16" ht="12.75">
      <c r="M269" s="256"/>
      <c r="N269" s="256"/>
      <c r="O269" s="256"/>
      <c r="P269" s="256"/>
    </row>
    <row r="270" spans="13:16" ht="12.75">
      <c r="M270" s="256"/>
      <c r="N270" s="256"/>
      <c r="O270" s="256"/>
      <c r="P270" s="256"/>
    </row>
    <row r="271" spans="13:16" ht="12.75">
      <c r="M271" s="256"/>
      <c r="N271" s="256"/>
      <c r="O271" s="256"/>
      <c r="P271" s="256"/>
    </row>
    <row r="272" spans="13:16" ht="12.75">
      <c r="M272" s="256"/>
      <c r="N272" s="256"/>
      <c r="O272" s="256"/>
      <c r="P272" s="256"/>
    </row>
    <row r="273" spans="13:16" ht="12.75">
      <c r="M273" s="256"/>
      <c r="N273" s="256"/>
      <c r="O273" s="256"/>
      <c r="P273" s="256"/>
    </row>
    <row r="274" spans="13:16" ht="12.75">
      <c r="M274" s="256"/>
      <c r="N274" s="256"/>
      <c r="O274" s="256"/>
      <c r="P274" s="256"/>
    </row>
    <row r="275" spans="13:16" ht="12.75">
      <c r="M275" s="256"/>
      <c r="N275" s="256"/>
      <c r="O275" s="256"/>
      <c r="P275" s="256"/>
    </row>
    <row r="276" spans="13:16" ht="12.75">
      <c r="M276" s="256"/>
      <c r="N276" s="256"/>
      <c r="O276" s="256"/>
      <c r="P276" s="256"/>
    </row>
    <row r="277" spans="13:16" ht="12.75">
      <c r="M277" s="256"/>
      <c r="N277" s="256"/>
      <c r="O277" s="256"/>
      <c r="P277" s="256"/>
    </row>
    <row r="278" spans="13:16" ht="12.75">
      <c r="M278" s="256"/>
      <c r="N278" s="256"/>
      <c r="O278" s="256"/>
      <c r="P278" s="256"/>
    </row>
    <row r="279" spans="13:16" ht="12.75">
      <c r="M279" s="256"/>
      <c r="N279" s="256"/>
      <c r="O279" s="256"/>
      <c r="P279" s="256"/>
    </row>
    <row r="280" spans="13:16" ht="12.75">
      <c r="M280" s="256"/>
      <c r="N280" s="256"/>
      <c r="O280" s="256"/>
      <c r="P280" s="256"/>
    </row>
    <row r="281" spans="13:16" ht="12.75">
      <c r="M281" s="256"/>
      <c r="N281" s="256"/>
      <c r="O281" s="256"/>
      <c r="P281" s="256"/>
    </row>
    <row r="282" spans="13:16" ht="12.75">
      <c r="M282" s="256"/>
      <c r="N282" s="256"/>
      <c r="O282" s="256"/>
      <c r="P282" s="256"/>
    </row>
    <row r="283" spans="13:16" ht="12.75">
      <c r="M283" s="256"/>
      <c r="N283" s="256"/>
      <c r="O283" s="256"/>
      <c r="P283" s="256"/>
    </row>
    <row r="284" spans="13:16" ht="12.75">
      <c r="M284" s="256"/>
      <c r="N284" s="256"/>
      <c r="O284" s="256"/>
      <c r="P284" s="256"/>
    </row>
    <row r="285" spans="13:16" ht="12.75">
      <c r="M285" s="256"/>
      <c r="N285" s="256"/>
      <c r="O285" s="256"/>
      <c r="P285" s="256"/>
    </row>
    <row r="286" spans="13:16" ht="12.75">
      <c r="M286" s="256"/>
      <c r="N286" s="256"/>
      <c r="O286" s="256"/>
      <c r="P286" s="256"/>
    </row>
    <row r="287" spans="13:16" ht="12.75">
      <c r="M287" s="256"/>
      <c r="N287" s="256"/>
      <c r="O287" s="256"/>
      <c r="P287" s="256"/>
    </row>
    <row r="288" spans="13:16" ht="12.75">
      <c r="M288" s="256"/>
      <c r="N288" s="256"/>
      <c r="O288" s="256"/>
      <c r="P288" s="256"/>
    </row>
    <row r="289" spans="13:16" ht="12.75">
      <c r="M289" s="256"/>
      <c r="N289" s="256"/>
      <c r="O289" s="256"/>
      <c r="P289" s="256"/>
    </row>
    <row r="290" spans="13:16" ht="12.75">
      <c r="M290" s="256"/>
      <c r="N290" s="256"/>
      <c r="O290" s="256"/>
      <c r="P290" s="256"/>
    </row>
    <row r="291" spans="13:16" ht="12.75">
      <c r="M291" s="256"/>
      <c r="N291" s="256"/>
      <c r="O291" s="256"/>
      <c r="P291" s="256"/>
    </row>
    <row r="292" spans="13:16" ht="12.75">
      <c r="M292" s="256"/>
      <c r="N292" s="256"/>
      <c r="O292" s="256"/>
      <c r="P292" s="256"/>
    </row>
    <row r="293" spans="13:16" ht="12.75">
      <c r="M293" s="256"/>
      <c r="N293" s="256"/>
      <c r="O293" s="256"/>
      <c r="P293" s="256"/>
    </row>
    <row r="294" spans="13:16" ht="12.75">
      <c r="M294" s="256"/>
      <c r="N294" s="256"/>
      <c r="O294" s="256"/>
      <c r="P294" s="256"/>
    </row>
    <row r="295" spans="13:16" ht="12.75">
      <c r="M295" s="256"/>
      <c r="N295" s="256"/>
      <c r="O295" s="256"/>
      <c r="P295" s="256"/>
    </row>
    <row r="296" spans="13:16" ht="12.75">
      <c r="M296" s="256"/>
      <c r="N296" s="256"/>
      <c r="O296" s="256"/>
      <c r="P296" s="256"/>
    </row>
    <row r="297" spans="13:16" ht="12.75">
      <c r="M297" s="256"/>
      <c r="N297" s="256"/>
      <c r="O297" s="256"/>
      <c r="P297" s="256"/>
    </row>
  </sheetData>
  <sheetProtection password="CAF5" sheet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rintOptions horizontalCentered="1"/>
  <pageMargins left="0.47" right="0.59" top="0.83" bottom="1" header="0.67" footer="0.5"/>
  <pageSetup fitToHeight="1" fitToWidth="1" horizontalDpi="600" verticalDpi="600" orientation="landscape" scale="76" r:id="rId1"/>
  <headerFooter alignWithMargins="0">
    <oddFooter>&amp;L&amp;"Arial,Italic"&amp;9MSDE-DBS  10 / 2009&amp;C- 6 -&amp;R&amp;"Arial,Italic"&amp;9Selected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Layout" workbookViewId="0" topLeftCell="A25">
      <selection activeCell="E50" sqref="E50"/>
    </sheetView>
  </sheetViews>
  <sheetFormatPr defaultColWidth="9.140625" defaultRowHeight="12.75"/>
  <cols>
    <col min="1" max="1" width="14.421875" style="179" customWidth="1"/>
    <col min="2" max="2" width="18.8515625" style="105" customWidth="1"/>
    <col min="3" max="3" width="19.421875" style="259" customWidth="1"/>
    <col min="4" max="4" width="17.421875" style="105" customWidth="1"/>
    <col min="5" max="5" width="14.28125" style="259" customWidth="1"/>
    <col min="6" max="6" width="1.421875" style="105" customWidth="1"/>
    <col min="7" max="7" width="14.8515625" style="105" customWidth="1"/>
    <col min="8" max="8" width="16.28125" style="105" customWidth="1"/>
    <col min="9" max="9" width="11.28125" style="105" bestFit="1" customWidth="1"/>
  </cols>
  <sheetData>
    <row r="1" spans="1:9" ht="12.75">
      <c r="A1" s="374" t="s">
        <v>44</v>
      </c>
      <c r="B1" s="374"/>
      <c r="C1" s="374"/>
      <c r="D1" s="374"/>
      <c r="E1" s="374"/>
      <c r="F1" s="374"/>
      <c r="G1" s="374"/>
      <c r="H1" s="374"/>
      <c r="I1" s="198"/>
    </row>
    <row r="2" spans="1:2" ht="12.75">
      <c r="A2" s="23"/>
      <c r="B2" s="170"/>
    </row>
    <row r="3" spans="1:9" ht="12.75">
      <c r="A3" s="396" t="s">
        <v>258</v>
      </c>
      <c r="B3" s="396"/>
      <c r="C3" s="396"/>
      <c r="D3" s="396"/>
      <c r="E3" s="396"/>
      <c r="F3" s="396"/>
      <c r="G3" s="396"/>
      <c r="H3" s="396"/>
      <c r="I3" s="200"/>
    </row>
    <row r="4" spans="1:9" ht="13.5" thickBot="1">
      <c r="A4" s="23"/>
      <c r="D4" s="220"/>
      <c r="E4" s="260"/>
      <c r="F4" s="220"/>
      <c r="G4" s="220"/>
      <c r="H4" s="220"/>
      <c r="I4" s="221"/>
    </row>
    <row r="5" spans="1:9" ht="15" customHeight="1" thickTop="1">
      <c r="A5" s="147"/>
      <c r="B5" s="171"/>
      <c r="C5" s="261"/>
      <c r="D5" s="397" t="s">
        <v>48</v>
      </c>
      <c r="E5" s="397"/>
      <c r="F5" s="397"/>
      <c r="G5" s="397"/>
      <c r="H5" s="397"/>
      <c r="I5" s="173"/>
    </row>
    <row r="6" spans="1:9" ht="12.75">
      <c r="A6" s="32"/>
      <c r="B6" s="172"/>
      <c r="C6" s="262" t="s">
        <v>45</v>
      </c>
      <c r="D6" s="398" t="s">
        <v>189</v>
      </c>
      <c r="E6" s="398"/>
      <c r="F6" s="264"/>
      <c r="G6" s="402" t="s">
        <v>243</v>
      </c>
      <c r="H6" s="399" t="s">
        <v>175</v>
      </c>
      <c r="I6" s="279"/>
    </row>
    <row r="7" spans="1:9" ht="12.75">
      <c r="A7" s="32" t="s">
        <v>83</v>
      </c>
      <c r="B7" s="173" t="s">
        <v>45</v>
      </c>
      <c r="C7" s="262" t="s">
        <v>51</v>
      </c>
      <c r="E7" s="265" t="s">
        <v>212</v>
      </c>
      <c r="F7" s="173"/>
      <c r="G7" s="403"/>
      <c r="H7" s="400"/>
      <c r="I7" s="199"/>
    </row>
    <row r="8" spans="1:9" ht="12.75" customHeight="1">
      <c r="A8" s="32" t="s">
        <v>35</v>
      </c>
      <c r="B8" s="174" t="s">
        <v>46</v>
      </c>
      <c r="C8" s="262" t="s">
        <v>52</v>
      </c>
      <c r="D8" s="173"/>
      <c r="E8" s="265" t="s">
        <v>213</v>
      </c>
      <c r="F8" s="173"/>
      <c r="G8" s="403"/>
      <c r="H8" s="400"/>
      <c r="I8" s="199"/>
    </row>
    <row r="9" spans="1:9" ht="13.5" thickBot="1">
      <c r="A9" s="55" t="s">
        <v>141</v>
      </c>
      <c r="B9" s="175" t="s">
        <v>47</v>
      </c>
      <c r="C9" s="266" t="s">
        <v>50</v>
      </c>
      <c r="D9" s="175" t="s">
        <v>25</v>
      </c>
      <c r="E9" s="267" t="s">
        <v>214</v>
      </c>
      <c r="F9" s="224"/>
      <c r="G9" s="404"/>
      <c r="H9" s="401"/>
      <c r="I9" s="199"/>
    </row>
    <row r="10" spans="1:9" ht="12.75">
      <c r="A10" s="32" t="s">
        <v>0</v>
      </c>
      <c r="B10" s="176">
        <f aca="true" t="shared" si="0" ref="B10:G10">SUM(B12:B39)</f>
        <v>5503171494.609999</v>
      </c>
      <c r="C10" s="176">
        <f t="shared" si="0"/>
        <v>5122604803.180001</v>
      </c>
      <c r="D10" s="176">
        <f t="shared" si="0"/>
        <v>2782710567.99</v>
      </c>
      <c r="E10" s="268">
        <f t="shared" si="0"/>
        <v>78889864</v>
      </c>
      <c r="F10" s="176">
        <f t="shared" si="0"/>
        <v>0</v>
      </c>
      <c r="G10" s="176">
        <f t="shared" si="0"/>
        <v>902134366.01</v>
      </c>
      <c r="H10" s="177">
        <f>SUM(H12:H39)</f>
        <v>566447690</v>
      </c>
      <c r="I10" s="177"/>
    </row>
    <row r="11" spans="1:7" ht="12.75">
      <c r="A11" s="32"/>
      <c r="B11" s="178"/>
      <c r="D11" s="269"/>
      <c r="E11" s="262"/>
      <c r="F11" s="269"/>
      <c r="G11" s="269"/>
    </row>
    <row r="12" spans="1:9" ht="12.75">
      <c r="A12" s="23" t="s">
        <v>1</v>
      </c>
      <c r="B12" s="170">
        <f>+C12+state5!B11+state5!F11+state5!J11</f>
        <v>89247424.11</v>
      </c>
      <c r="C12" s="259">
        <f>SUM(D12:H12)+SUM(state2!B12:K12)+SUM(state3!B13:I13)+SUM(state4!B13:H13)</f>
        <v>88531182.33</v>
      </c>
      <c r="D12" s="346">
        <v>44527227</v>
      </c>
      <c r="E12" s="270">
        <v>5507354</v>
      </c>
      <c r="F12" s="209"/>
      <c r="G12" s="346">
        <v>20819432</v>
      </c>
      <c r="H12" s="209">
        <v>6142125</v>
      </c>
      <c r="I12" s="209"/>
    </row>
    <row r="13" spans="1:9" ht="12.75">
      <c r="A13" s="179" t="s">
        <v>2</v>
      </c>
      <c r="B13" s="170">
        <f>+C13+state5!B12+state5!F12+state5!J12</f>
        <v>323199575.86</v>
      </c>
      <c r="C13" s="259">
        <f>SUM(D13:H13)+SUM(state2!B13:K13)+SUM(state3!B14:I14)+SUM(state4!B14:H14)</f>
        <v>309597227.86</v>
      </c>
      <c r="D13" s="346">
        <v>174965700</v>
      </c>
      <c r="E13" s="271">
        <v>0</v>
      </c>
      <c r="F13" s="170"/>
      <c r="G13" s="346">
        <v>37356086</v>
      </c>
      <c r="H13" s="209">
        <v>44791171</v>
      </c>
      <c r="I13" s="209"/>
    </row>
    <row r="14" spans="1:9" ht="12.75">
      <c r="A14" s="179" t="s">
        <v>3</v>
      </c>
      <c r="B14" s="170">
        <f>+C14+state5!B13+state5!F13+state5!J13</f>
        <v>937498877.3000001</v>
      </c>
      <c r="C14" s="259">
        <f>SUM(D14:H14)+SUM(state2!B14:K14)+SUM(state3!B15:I15)+SUM(state4!B15:H15)</f>
        <v>878817842.84</v>
      </c>
      <c r="D14" s="346">
        <v>399499581</v>
      </c>
      <c r="E14" s="272">
        <v>36343950</v>
      </c>
      <c r="F14" s="170"/>
      <c r="G14" s="346">
        <v>277191902.01</v>
      </c>
      <c r="H14" s="209">
        <v>53695878</v>
      </c>
      <c r="I14" s="209"/>
    </row>
    <row r="15" spans="1:9" ht="12.75">
      <c r="A15" s="179" t="s">
        <v>4</v>
      </c>
      <c r="B15" s="170">
        <f>+C15+state5!B14+state5!F14+state5!J14</f>
        <v>644803201.2</v>
      </c>
      <c r="C15" s="259">
        <f>SUM(D15:H15)+SUM(state2!B15:K15)+SUM(state3!B16:I16)+SUM(state4!B16:H16)</f>
        <v>578654265.2</v>
      </c>
      <c r="D15" s="346">
        <v>334624288</v>
      </c>
      <c r="E15" s="271">
        <v>0</v>
      </c>
      <c r="F15" s="170"/>
      <c r="G15" s="346">
        <v>86201356</v>
      </c>
      <c r="H15" s="209">
        <v>68578734</v>
      </c>
      <c r="I15" s="209"/>
    </row>
    <row r="16" spans="1:9" ht="12.75">
      <c r="A16" s="179" t="s">
        <v>5</v>
      </c>
      <c r="B16" s="170">
        <f>+C16+state5!B15+state5!F15+state5!J15</f>
        <v>107530974.33999997</v>
      </c>
      <c r="C16" s="259">
        <f>SUM(D16:H16)+SUM(state2!B16:K16)+SUM(state3!B17:I17)+SUM(state4!B17:H17)</f>
        <v>95345860.65999998</v>
      </c>
      <c r="D16" s="346">
        <v>64326172</v>
      </c>
      <c r="E16" s="271">
        <v>0</v>
      </c>
      <c r="F16" s="170"/>
      <c r="G16" s="346">
        <v>6882203</v>
      </c>
      <c r="H16" s="209">
        <v>11696627</v>
      </c>
      <c r="I16" s="209"/>
    </row>
    <row r="17" spans="2:9" ht="12.75">
      <c r="B17" s="170"/>
      <c r="D17" s="346"/>
      <c r="E17" s="272"/>
      <c r="F17" s="170"/>
      <c r="G17" s="346"/>
      <c r="H17" s="209"/>
      <c r="I17" s="209"/>
    </row>
    <row r="18" spans="1:9" ht="12.75">
      <c r="A18" s="179" t="s">
        <v>6</v>
      </c>
      <c r="B18" s="170">
        <f>+C18+state5!B17+state5!F17+state5!J17</f>
        <v>46336711.54</v>
      </c>
      <c r="C18" s="259">
        <f>SUM(D18:H18)+SUM(state2!B18:K18)+SUM(state3!B19:I19)+SUM(state4!B19:H19)</f>
        <v>45177965.01</v>
      </c>
      <c r="D18" s="346">
        <v>25176864</v>
      </c>
      <c r="E18" s="270">
        <v>553569</v>
      </c>
      <c r="F18" s="170"/>
      <c r="G18" s="346">
        <v>9831949</v>
      </c>
      <c r="H18" s="209">
        <v>3324753</v>
      </c>
      <c r="I18" s="209"/>
    </row>
    <row r="19" spans="1:9" ht="12.75">
      <c r="A19" s="179" t="s">
        <v>7</v>
      </c>
      <c r="B19" s="170">
        <f>+C19+state5!B18+state5!F18+state5!J18</f>
        <v>164389037.39000002</v>
      </c>
      <c r="C19" s="259">
        <f>SUM(D19:H19)+SUM(state2!B19:K19)+SUM(state3!B20:I20)+SUM(state4!B20:H20)</f>
        <v>157765424.89000002</v>
      </c>
      <c r="D19" s="346">
        <v>109301977</v>
      </c>
      <c r="E19" s="271">
        <v>0</v>
      </c>
      <c r="F19" s="170"/>
      <c r="G19" s="346">
        <v>8926677</v>
      </c>
      <c r="H19" s="209">
        <v>17271293</v>
      </c>
      <c r="I19" s="209"/>
    </row>
    <row r="20" spans="1:9" ht="12.75">
      <c r="A20" s="179" t="s">
        <v>8</v>
      </c>
      <c r="B20" s="170">
        <f>+C20+state5!B19+state5!F19+state5!J19</f>
        <v>110472714.80999999</v>
      </c>
      <c r="C20" s="259">
        <f>SUM(D20:H20)+SUM(state2!B20:K20)+SUM(state3!B21:I21)+SUM(state4!B21:H21)</f>
        <v>107454703.77999999</v>
      </c>
      <c r="D20" s="346">
        <v>67041630</v>
      </c>
      <c r="E20" s="270">
        <v>2046902</v>
      </c>
      <c r="F20" s="170"/>
      <c r="G20" s="346">
        <v>13876657</v>
      </c>
      <c r="H20" s="209">
        <v>10224346</v>
      </c>
      <c r="I20" s="328"/>
    </row>
    <row r="21" spans="1:9" ht="12.75">
      <c r="A21" s="179" t="s">
        <v>9</v>
      </c>
      <c r="B21" s="170">
        <f>+C21+state5!B20+state5!F20+state5!J20</f>
        <v>170584199.8</v>
      </c>
      <c r="C21" s="259">
        <f>SUM(D21:H21)+SUM(state2!B21:K21)+SUM(state3!B22:I22)+SUM(state4!B22:H22)</f>
        <v>160574783.24</v>
      </c>
      <c r="D21" s="346">
        <v>106742818</v>
      </c>
      <c r="E21" s="270">
        <v>2758446</v>
      </c>
      <c r="F21" s="170"/>
      <c r="G21" s="346">
        <v>16929504</v>
      </c>
      <c r="H21" s="209">
        <v>15472354</v>
      </c>
      <c r="I21" s="328"/>
    </row>
    <row r="22" spans="1:9" ht="12.75">
      <c r="A22" s="179" t="s">
        <v>10</v>
      </c>
      <c r="B22" s="170">
        <f>+C22+state5!B21+state5!F21+state5!J21</f>
        <v>39717698.269999996</v>
      </c>
      <c r="C22" s="259">
        <f>SUM(D22:H22)+SUM(state2!B22:K22)+SUM(state3!B23:I23)+SUM(state4!B23:H23)</f>
        <v>33101612.27</v>
      </c>
      <c r="D22" s="346">
        <f>18527314-67422</f>
        <v>18459892</v>
      </c>
      <c r="E22" s="270">
        <v>242457</v>
      </c>
      <c r="F22" s="170"/>
      <c r="G22" s="346">
        <v>6749314</v>
      </c>
      <c r="H22" s="209">
        <v>2957761</v>
      </c>
      <c r="I22" s="209"/>
    </row>
    <row r="23" spans="1:9" ht="12.75">
      <c r="A23" s="326"/>
      <c r="B23" s="170"/>
      <c r="D23" s="346"/>
      <c r="E23" s="272"/>
      <c r="F23" s="170"/>
      <c r="G23" s="346"/>
      <c r="H23" s="209"/>
      <c r="I23" s="209"/>
    </row>
    <row r="24" spans="1:9" ht="12.75">
      <c r="A24" s="179" t="s">
        <v>11</v>
      </c>
      <c r="B24" s="170">
        <f>+C24+state5!B23+state5!F23+state5!J23</f>
        <v>239547945.67</v>
      </c>
      <c r="C24" s="259">
        <f>SUM(D24:H24)+SUM(state2!B24:K24)+SUM(state3!B25:I25)+SUM(state4!B25:H25)</f>
        <v>221501430.67</v>
      </c>
      <c r="D24" s="346">
        <v>149660022</v>
      </c>
      <c r="E24" s="271">
        <v>0</v>
      </c>
      <c r="F24" s="170"/>
      <c r="G24" s="346">
        <v>17433390</v>
      </c>
      <c r="H24" s="209">
        <v>23938377</v>
      </c>
      <c r="I24" s="209"/>
    </row>
    <row r="25" spans="1:9" ht="12.75">
      <c r="A25" s="179" t="s">
        <v>12</v>
      </c>
      <c r="B25" s="170">
        <f>+C25+state5!B24+state5!F24+state5!J24</f>
        <v>28628543.45</v>
      </c>
      <c r="C25" s="259">
        <f>SUM(D25:H25)+SUM(state2!B25:K25)+SUM(state3!B26:I26)+SUM(state4!B26:H26)</f>
        <v>28356872.32</v>
      </c>
      <c r="D25" s="347">
        <v>15735284</v>
      </c>
      <c r="E25" s="271">
        <v>0</v>
      </c>
      <c r="F25" s="170"/>
      <c r="G25" s="346">
        <v>4735068</v>
      </c>
      <c r="H25" s="209">
        <v>3008296</v>
      </c>
      <c r="I25" s="209"/>
    </row>
    <row r="26" spans="1:9" ht="12.75">
      <c r="A26" s="179" t="s">
        <v>13</v>
      </c>
      <c r="B26" s="170">
        <f>+C26+state5!B25+state5!F25+state5!J25</f>
        <v>252823616.2</v>
      </c>
      <c r="C26" s="259">
        <f>SUM(D26:H26)+SUM(state2!B26:K26)+SUM(state3!B27:I27)+SUM(state4!B27:H27)</f>
        <v>231877008.2</v>
      </c>
      <c r="D26" s="346">
        <v>152089377</v>
      </c>
      <c r="E26" s="271">
        <v>0</v>
      </c>
      <c r="F26" s="170"/>
      <c r="G26" s="346">
        <v>22631875</v>
      </c>
      <c r="H26" s="209">
        <v>23870733</v>
      </c>
      <c r="I26" s="209"/>
    </row>
    <row r="27" spans="1:9" ht="12.75">
      <c r="A27" s="179" t="s">
        <v>14</v>
      </c>
      <c r="B27" s="170">
        <f>+C27+state5!B26+state5!F26+state5!J26</f>
        <v>234495115.74</v>
      </c>
      <c r="C27" s="259">
        <f>SUM(D27:H27)+SUM(state2!B27:K27)+SUM(state3!B28:I28)+SUM(state4!B28:H28)</f>
        <v>221073571.74</v>
      </c>
      <c r="D27" s="346">
        <v>137131586</v>
      </c>
      <c r="E27" s="271">
        <v>0</v>
      </c>
      <c r="F27" s="170"/>
      <c r="G27" s="346">
        <v>13990674</v>
      </c>
      <c r="H27" s="209">
        <v>37975636</v>
      </c>
      <c r="I27" s="209"/>
    </row>
    <row r="28" spans="1:9" ht="12.75">
      <c r="A28" s="179" t="s">
        <v>15</v>
      </c>
      <c r="B28" s="170">
        <f>+C28+state5!B27+state5!F27+state5!J27</f>
        <v>13010272.84</v>
      </c>
      <c r="C28" s="259">
        <f>SUM(D28:H28)+SUM(state2!B28:K28)+SUM(state3!B29:I29)+SUM(state4!B29:H29)</f>
        <v>11878541.84</v>
      </c>
      <c r="D28" s="346">
        <v>4875636</v>
      </c>
      <c r="E28" s="271">
        <v>0</v>
      </c>
      <c r="F28" s="170"/>
      <c r="G28" s="346">
        <v>2285888</v>
      </c>
      <c r="H28" s="209">
        <v>1678794</v>
      </c>
      <c r="I28" s="209"/>
    </row>
    <row r="29" spans="2:9" ht="12.75">
      <c r="B29" s="170"/>
      <c r="D29" s="346"/>
      <c r="E29" s="272"/>
      <c r="F29" s="170"/>
      <c r="G29" s="346"/>
      <c r="H29" s="170"/>
      <c r="I29" s="170"/>
    </row>
    <row r="30" spans="1:9" ht="12.75">
      <c r="A30" s="179" t="s">
        <v>16</v>
      </c>
      <c r="B30" s="170">
        <f>+C30+state5!B29+state5!F29+state5!J29</f>
        <v>564939066.6700001</v>
      </c>
      <c r="C30" s="259">
        <f>SUM(D30:H30)+SUM(state2!B30:K30)+SUM(state3!B31:I31)+SUM(state4!B31:H31)</f>
        <v>511954652.67</v>
      </c>
      <c r="D30" s="346">
        <v>193323786</v>
      </c>
      <c r="E30" s="271">
        <v>0</v>
      </c>
      <c r="F30" s="170"/>
      <c r="G30" s="346">
        <v>82533545</v>
      </c>
      <c r="H30" s="209">
        <v>115507019</v>
      </c>
      <c r="I30" s="209"/>
    </row>
    <row r="31" spans="1:9" ht="12.75">
      <c r="A31" s="179" t="s">
        <v>17</v>
      </c>
      <c r="B31" s="170">
        <f>+C31+state5!B30+state5!F30+state5!J30</f>
        <v>1039574165.87</v>
      </c>
      <c r="C31" s="259">
        <f>SUM(D31:H31)+SUM(state2!B31:K31)+SUM(state3!B32:I32)+SUM(state4!B32:H32)</f>
        <v>985383658.87</v>
      </c>
      <c r="D31" s="346">
        <v>525710485</v>
      </c>
      <c r="E31" s="270">
        <v>23539201</v>
      </c>
      <c r="F31" s="170"/>
      <c r="G31" s="346">
        <v>195228975</v>
      </c>
      <c r="H31" s="209">
        <v>79744401</v>
      </c>
      <c r="I31" s="327"/>
    </row>
    <row r="32" spans="1:9" ht="12.75">
      <c r="A32" s="179" t="s">
        <v>18</v>
      </c>
      <c r="B32" s="170">
        <f>+C32+state5!B31+state5!F31+state5!J31</f>
        <v>38533884.57</v>
      </c>
      <c r="C32" s="259">
        <f>SUM(D32:H32)+SUM(state2!B32:K32)+SUM(state3!B33:I33)+SUM(state4!B33:H33)</f>
        <v>34513279.22</v>
      </c>
      <c r="D32" s="346">
        <v>20722669</v>
      </c>
      <c r="E32" s="271">
        <v>0</v>
      </c>
      <c r="F32" s="170"/>
      <c r="G32" s="346">
        <v>2828786</v>
      </c>
      <c r="H32" s="209">
        <v>4503138</v>
      </c>
      <c r="I32" s="209"/>
    </row>
    <row r="33" spans="1:9" ht="12.75">
      <c r="A33" s="179" t="s">
        <v>19</v>
      </c>
      <c r="B33" s="170">
        <f>+C33+state5!B32+state5!F32+state5!J32</f>
        <v>107350640.45999998</v>
      </c>
      <c r="C33" s="259">
        <f>SUM(D33:H33)+SUM(state2!B33:K33)+SUM(state3!B34:I34)+SUM(state4!B34:H34)</f>
        <v>99177356.46999998</v>
      </c>
      <c r="D33" s="346">
        <v>63966343</v>
      </c>
      <c r="E33" s="270">
        <v>238867</v>
      </c>
      <c r="F33" s="170"/>
      <c r="G33" s="346">
        <v>11159527</v>
      </c>
      <c r="H33" s="209">
        <v>10058740</v>
      </c>
      <c r="I33" s="328"/>
    </row>
    <row r="34" spans="1:9" ht="12.75">
      <c r="A34" s="179" t="s">
        <v>20</v>
      </c>
      <c r="B34" s="170">
        <f>+C34+state5!B33+state5!F33+state5!J33</f>
        <v>28931612.820000004</v>
      </c>
      <c r="C34" s="259">
        <f>SUM(D34:H34)+SUM(state2!B34:K34)+SUM(state3!B35:I35)+SUM(state4!B35:H35)</f>
        <v>25696557.270000003</v>
      </c>
      <c r="D34" s="346">
        <v>12769727</v>
      </c>
      <c r="E34" s="270">
        <v>961384</v>
      </c>
      <c r="F34" s="170"/>
      <c r="G34" s="346">
        <v>6147756</v>
      </c>
      <c r="H34" s="209">
        <v>1985392</v>
      </c>
      <c r="I34" s="209"/>
    </row>
    <row r="35" spans="2:9" ht="12.75">
      <c r="B35" s="257"/>
      <c r="D35" s="348"/>
      <c r="E35" s="272"/>
      <c r="F35" s="257"/>
      <c r="G35" s="348"/>
      <c r="H35" s="274"/>
      <c r="I35" s="274"/>
    </row>
    <row r="36" spans="1:9" ht="12.75">
      <c r="A36" s="179" t="s">
        <v>21</v>
      </c>
      <c r="B36" s="170">
        <f>+C36+state5!B35+state5!F35+state5!J35</f>
        <v>15158800.57</v>
      </c>
      <c r="C36" s="259">
        <f>SUM(D36:H36)+SUM(state2!B36:K36)+SUM(state3!B37:I37)+SUM(state4!B37:H37)</f>
        <v>12915481.42</v>
      </c>
      <c r="D36" s="346">
        <v>4240565</v>
      </c>
      <c r="E36" s="271">
        <v>0</v>
      </c>
      <c r="F36" s="170"/>
      <c r="G36" s="346">
        <v>2888531</v>
      </c>
      <c r="H36" s="209">
        <v>2774097</v>
      </c>
      <c r="I36" s="209"/>
    </row>
    <row r="37" spans="1:9" ht="12.75">
      <c r="A37" s="179" t="s">
        <v>22</v>
      </c>
      <c r="B37" s="170">
        <f>+C37+state5!B36+state5!F36+state5!J36</f>
        <v>162532907.74</v>
      </c>
      <c r="C37" s="259">
        <f>SUM(D37:H37)+SUM(state2!B37:K37)+SUM(state3!B38:I38)+SUM(state4!B38:H38)</f>
        <v>147334065.74</v>
      </c>
      <c r="D37" s="346">
        <v>88730865</v>
      </c>
      <c r="E37" s="270">
        <v>2446547</v>
      </c>
      <c r="F37" s="170"/>
      <c r="G37" s="346">
        <v>25753137</v>
      </c>
      <c r="H37" s="209">
        <v>12509313</v>
      </c>
      <c r="I37" s="209"/>
    </row>
    <row r="38" spans="1:9" ht="12.75">
      <c r="A38" s="179" t="s">
        <v>23</v>
      </c>
      <c r="B38" s="170">
        <f>+C38+state5!B37+state5!F37+state5!J37</f>
        <v>114140602.50000001</v>
      </c>
      <c r="C38" s="259">
        <f>SUM(D38:H38)+SUM(state2!B38:K38)+SUM(state3!B39:I39)+SUM(state4!B39:H39)</f>
        <v>113685915.13000001</v>
      </c>
      <c r="D38" s="346">
        <v>62575481</v>
      </c>
      <c r="E38" s="270">
        <v>4251187</v>
      </c>
      <c r="F38" s="170"/>
      <c r="G38" s="346">
        <v>24333540</v>
      </c>
      <c r="H38" s="209">
        <v>9495371</v>
      </c>
      <c r="I38" s="209"/>
    </row>
    <row r="39" spans="1:9" ht="12.75">
      <c r="A39" s="180" t="s">
        <v>24</v>
      </c>
      <c r="B39" s="258">
        <f>+C39+state5!B38+state5!F38+state5!J38</f>
        <v>29723904.89</v>
      </c>
      <c r="C39" s="275">
        <f>SUM(D39:H39)+SUM(state2!B39:K39)+SUM(state3!B40:I40)+SUM(state4!B40:H40)</f>
        <v>22235543.540000003</v>
      </c>
      <c r="D39" s="349">
        <v>6512592.99</v>
      </c>
      <c r="E39" s="276">
        <v>0</v>
      </c>
      <c r="F39" s="258"/>
      <c r="G39" s="349">
        <v>5418594</v>
      </c>
      <c r="H39" s="258">
        <v>5243341</v>
      </c>
      <c r="I39" s="209"/>
    </row>
    <row r="40" ht="12.75">
      <c r="G40" s="277"/>
    </row>
    <row r="41" spans="4:6" ht="12.75">
      <c r="D41" s="329">
        <v>2782710567.99</v>
      </c>
      <c r="F41" s="105">
        <v>0</v>
      </c>
    </row>
    <row r="42" spans="4:7" ht="12.75">
      <c r="D42" s="259">
        <v>78889864</v>
      </c>
      <c r="F42" s="105">
        <v>726217579</v>
      </c>
      <c r="G42" s="277"/>
    </row>
    <row r="43" spans="4:7" ht="12.75">
      <c r="D43" s="277">
        <v>902134366.01</v>
      </c>
      <c r="G43" s="277"/>
    </row>
    <row r="44" spans="3:7" ht="13.5" thickBot="1">
      <c r="C44" s="259">
        <v>5122604803.180001</v>
      </c>
      <c r="D44" s="370">
        <f>SUM(D41:D43)</f>
        <v>3763734798</v>
      </c>
      <c r="E44" s="298">
        <f>D44/C44</f>
        <v>0.7347306580557523</v>
      </c>
      <c r="G44" s="277"/>
    </row>
    <row r="45" spans="4:7" ht="13.5" thickTop="1">
      <c r="D45" s="221"/>
      <c r="G45" s="277"/>
    </row>
    <row r="46" spans="4:7" ht="12.75">
      <c r="D46" s="221"/>
      <c r="G46" s="277"/>
    </row>
    <row r="47" ht="12.75">
      <c r="G47" s="277"/>
    </row>
    <row r="48" ht="12.75">
      <c r="G48" s="277"/>
    </row>
    <row r="49" ht="12.75">
      <c r="G49" s="277"/>
    </row>
    <row r="50" ht="12.75">
      <c r="G50" s="278"/>
    </row>
    <row r="51" ht="12.75">
      <c r="G51" s="277"/>
    </row>
    <row r="52" ht="12.75">
      <c r="G52" s="277"/>
    </row>
    <row r="53" ht="12.75">
      <c r="G53" s="277"/>
    </row>
    <row r="54" ht="12.75">
      <c r="G54" s="277"/>
    </row>
    <row r="55" ht="12.75">
      <c r="G55" s="277"/>
    </row>
    <row r="56" ht="12.75">
      <c r="G56" s="277"/>
    </row>
    <row r="57" ht="12.75">
      <c r="G57" s="278"/>
    </row>
  </sheetData>
  <sheetProtection password="CAF5" sheet="1"/>
  <mergeCells count="6">
    <mergeCell ref="A1:H1"/>
    <mergeCell ref="A3:H3"/>
    <mergeCell ref="D5:H5"/>
    <mergeCell ref="D6:E6"/>
    <mergeCell ref="H6:H9"/>
    <mergeCell ref="G6:G9"/>
  </mergeCells>
  <printOptions horizontalCentered="1"/>
  <pageMargins left="0.34" right="0.27" top="0.83" bottom="1" header="0.67" footer="0.5"/>
  <pageSetup fitToHeight="1" fitToWidth="1" horizontalDpi="600" verticalDpi="600" orientation="landscape" scale="96" r:id="rId1"/>
  <headerFooter alignWithMargins="0">
    <oddHeader>&amp;R
</oddHeader>
    <oddFooter>&amp;L&amp;"Arial,Italic"&amp;9MSDE-DBS 10 / 2009&amp;C- 7 -&amp;R&amp;"Arial,Italic"&amp;9Selected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14.140625" style="0" customWidth="1"/>
    <col min="2" max="2" width="11.8515625" style="105" customWidth="1"/>
    <col min="3" max="3" width="14.00390625" style="105" bestFit="1" customWidth="1"/>
    <col min="4" max="4" width="1.57421875" style="105" customWidth="1"/>
    <col min="5" max="5" width="13.140625" style="105" customWidth="1"/>
    <col min="6" max="6" width="15.00390625" style="105" bestFit="1" customWidth="1"/>
    <col min="7" max="7" width="13.421875" style="105" customWidth="1"/>
    <col min="8" max="8" width="3.8515625" style="105" customWidth="1"/>
    <col min="9" max="9" width="16.421875" style="105" customWidth="1"/>
    <col min="10" max="10" width="15.421875" style="105" customWidth="1"/>
    <col min="11" max="11" width="13.57421875" style="0" customWidth="1"/>
  </cols>
  <sheetData>
    <row r="1" spans="1:10" ht="12.75">
      <c r="A1" s="380" t="s">
        <v>125</v>
      </c>
      <c r="B1" s="380"/>
      <c r="C1" s="380"/>
      <c r="D1" s="380"/>
      <c r="E1" s="380"/>
      <c r="F1" s="380"/>
      <c r="G1" s="380"/>
      <c r="H1" s="380"/>
      <c r="I1" s="380"/>
      <c r="J1" s="380"/>
    </row>
    <row r="3" spans="1:10" s="86" customFormat="1" ht="12.75">
      <c r="A3" s="379" t="s">
        <v>259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2:11" ht="13.5" thickBot="1"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5" customHeight="1" thickTop="1">
      <c r="A5" s="6"/>
      <c r="B5" s="405" t="s">
        <v>244</v>
      </c>
      <c r="C5" s="406"/>
      <c r="D5" s="406"/>
      <c r="E5" s="406"/>
      <c r="F5" s="406"/>
      <c r="G5" s="406"/>
      <c r="H5" s="406"/>
      <c r="I5" s="406"/>
      <c r="J5" s="406"/>
      <c r="K5" s="406"/>
    </row>
    <row r="6" spans="1:18" ht="12.75" customHeight="1" thickBot="1">
      <c r="A6" s="3"/>
      <c r="B6" s="398"/>
      <c r="C6" s="398"/>
      <c r="D6" s="173"/>
      <c r="E6" s="398" t="s">
        <v>31</v>
      </c>
      <c r="F6" s="398"/>
      <c r="G6" s="398"/>
      <c r="H6" s="263"/>
      <c r="I6" s="413" t="s">
        <v>162</v>
      </c>
      <c r="J6" s="413"/>
      <c r="K6" s="413"/>
      <c r="L6" s="3"/>
      <c r="M6" s="3"/>
      <c r="N6" s="3"/>
      <c r="O6" s="3"/>
      <c r="P6" s="3"/>
      <c r="Q6" s="3"/>
      <c r="R6" s="3"/>
    </row>
    <row r="7" spans="1:18" ht="12.75" customHeight="1">
      <c r="A7" s="3" t="s">
        <v>83</v>
      </c>
      <c r="B7" s="280" t="s">
        <v>131</v>
      </c>
      <c r="C7" s="280" t="s">
        <v>160</v>
      </c>
      <c r="D7" s="280"/>
      <c r="E7" s="221"/>
      <c r="F7" s="173"/>
      <c r="G7" s="412" t="s">
        <v>200</v>
      </c>
      <c r="I7" s="407" t="s">
        <v>177</v>
      </c>
      <c r="J7" s="409" t="s">
        <v>178</v>
      </c>
      <c r="K7" s="284" t="s">
        <v>187</v>
      </c>
      <c r="L7" s="3"/>
      <c r="M7" s="3"/>
      <c r="N7" s="3"/>
      <c r="O7" s="3"/>
      <c r="P7" s="3"/>
      <c r="Q7" s="3"/>
      <c r="R7" s="3"/>
    </row>
    <row r="8" spans="1:11" ht="12.75">
      <c r="A8" s="3" t="s">
        <v>35</v>
      </c>
      <c r="B8" s="280" t="s">
        <v>139</v>
      </c>
      <c r="C8" s="280" t="s">
        <v>161</v>
      </c>
      <c r="D8" s="280"/>
      <c r="E8" s="221"/>
      <c r="F8" s="173" t="s">
        <v>29</v>
      </c>
      <c r="G8" s="408"/>
      <c r="I8" s="408"/>
      <c r="J8" s="410"/>
      <c r="K8" s="285" t="s">
        <v>188</v>
      </c>
    </row>
    <row r="9" spans="1:11" ht="13.5" thickBot="1">
      <c r="A9" s="7" t="s">
        <v>141</v>
      </c>
      <c r="B9" s="175" t="s">
        <v>140</v>
      </c>
      <c r="C9" s="175" t="s">
        <v>27</v>
      </c>
      <c r="D9" s="175"/>
      <c r="E9" s="224" t="s">
        <v>25</v>
      </c>
      <c r="F9" s="224" t="s">
        <v>30</v>
      </c>
      <c r="G9" s="401"/>
      <c r="I9" s="401"/>
      <c r="J9" s="411"/>
      <c r="K9" s="286"/>
    </row>
    <row r="10" spans="1:11" s="47" customFormat="1" ht="12.75">
      <c r="A10" s="51" t="s">
        <v>0</v>
      </c>
      <c r="B10" s="288">
        <f aca="true" t="shared" si="0" ref="B10:G10">SUM(B12:B39)</f>
        <v>49197</v>
      </c>
      <c r="C10" s="281">
        <f t="shared" si="0"/>
        <v>5916885</v>
      </c>
      <c r="D10" s="281">
        <f t="shared" si="0"/>
        <v>0</v>
      </c>
      <c r="E10" s="281">
        <f t="shared" si="0"/>
        <v>276091091</v>
      </c>
      <c r="F10" s="281">
        <f t="shared" si="0"/>
        <v>108511396.16999999</v>
      </c>
      <c r="G10" s="281">
        <f t="shared" si="0"/>
        <v>2527149.66</v>
      </c>
      <c r="I10" s="281">
        <f>SUM(I12:I39)</f>
        <v>194369101.67</v>
      </c>
      <c r="J10" s="281">
        <f>SUM(J12:J39)</f>
        <v>24582100</v>
      </c>
      <c r="K10" s="281">
        <f>SUM(K12:K39)</f>
        <v>35000</v>
      </c>
    </row>
    <row r="11" spans="1:11" ht="12.75">
      <c r="A11" s="3"/>
      <c r="B11" s="273"/>
      <c r="C11" s="273"/>
      <c r="D11" s="273"/>
      <c r="E11" s="209"/>
      <c r="F11" s="209"/>
      <c r="G11" s="209"/>
      <c r="I11" s="186"/>
      <c r="J11" s="186"/>
      <c r="K11" s="186"/>
    </row>
    <row r="12" spans="1:11" ht="12.75">
      <c r="A12" t="s">
        <v>1</v>
      </c>
      <c r="B12" s="189">
        <v>0</v>
      </c>
      <c r="C12" s="188">
        <v>0</v>
      </c>
      <c r="D12" s="186"/>
      <c r="E12" s="188">
        <v>5589969</v>
      </c>
      <c r="F12" s="186">
        <v>854408.5</v>
      </c>
      <c r="G12" s="186">
        <v>59942</v>
      </c>
      <c r="H12" s="186"/>
      <c r="I12" s="188">
        <f>3902316-207000</f>
        <v>3695316</v>
      </c>
      <c r="J12" s="186">
        <v>207000</v>
      </c>
      <c r="K12" s="186">
        <v>0</v>
      </c>
    </row>
    <row r="13" spans="1:11" ht="12.75">
      <c r="A13" t="s">
        <v>2</v>
      </c>
      <c r="B13" s="189">
        <v>0</v>
      </c>
      <c r="C13" s="188">
        <v>541142</v>
      </c>
      <c r="D13" s="186"/>
      <c r="E13" s="188">
        <v>17705596</v>
      </c>
      <c r="F13" s="186">
        <v>9038833.19</v>
      </c>
      <c r="G13" s="186">
        <v>559616.4</v>
      </c>
      <c r="H13" s="186"/>
      <c r="I13" s="188">
        <v>16623670</v>
      </c>
      <c r="J13" s="186">
        <v>1596000</v>
      </c>
      <c r="K13" s="186">
        <v>0</v>
      </c>
    </row>
    <row r="14" spans="1:11" ht="12.75">
      <c r="A14" t="s">
        <v>3</v>
      </c>
      <c r="B14" s="189">
        <v>0</v>
      </c>
      <c r="C14" s="188">
        <v>0</v>
      </c>
      <c r="D14" s="186"/>
      <c r="E14" s="188">
        <f>58245980.99-1811000</f>
        <v>56434980.99</v>
      </c>
      <c r="F14" s="186">
        <v>23930705.72</v>
      </c>
      <c r="G14" s="186">
        <v>0</v>
      </c>
      <c r="H14" s="186"/>
      <c r="I14" s="188">
        <v>13401672</v>
      </c>
      <c r="J14" s="186">
        <v>3682000</v>
      </c>
      <c r="K14" s="186">
        <v>0</v>
      </c>
    </row>
    <row r="15" spans="1:11" ht="12.75">
      <c r="A15" t="s">
        <v>4</v>
      </c>
      <c r="B15" s="189">
        <v>0</v>
      </c>
      <c r="C15" s="188">
        <v>3642221</v>
      </c>
      <c r="D15" s="186"/>
      <c r="E15" s="188">
        <v>28660493</v>
      </c>
      <c r="F15" s="186">
        <v>14590875</v>
      </c>
      <c r="G15" s="186">
        <v>692789.2</v>
      </c>
      <c r="H15" s="186"/>
      <c r="I15" s="188">
        <f>23845320-2872000</f>
        <v>20973320</v>
      </c>
      <c r="J15" s="186">
        <v>2872000</v>
      </c>
      <c r="K15" s="186">
        <v>0</v>
      </c>
    </row>
    <row r="16" spans="1:11" ht="12.75">
      <c r="A16" t="s">
        <v>5</v>
      </c>
      <c r="B16" s="189">
        <v>0</v>
      </c>
      <c r="C16" s="350">
        <v>7928</v>
      </c>
      <c r="D16" s="186"/>
      <c r="E16" s="188">
        <v>5107269</v>
      </c>
      <c r="F16" s="186">
        <v>836408.99</v>
      </c>
      <c r="G16" s="186">
        <v>82603.75</v>
      </c>
      <c r="H16" s="186"/>
      <c r="I16" s="188">
        <v>4557020</v>
      </c>
      <c r="J16" s="186">
        <v>283000</v>
      </c>
      <c r="K16" s="186">
        <v>0</v>
      </c>
    </row>
    <row r="17" spans="2:11" ht="12.75">
      <c r="B17" s="273"/>
      <c r="C17" s="188"/>
      <c r="D17" s="186"/>
      <c r="E17" s="186"/>
      <c r="F17" s="186"/>
      <c r="G17" s="186"/>
      <c r="H17" s="186"/>
      <c r="I17" s="186"/>
      <c r="J17" s="186"/>
      <c r="K17" s="186"/>
    </row>
    <row r="18" spans="1:11" ht="12.75">
      <c r="A18" t="s">
        <v>6</v>
      </c>
      <c r="B18" s="189">
        <v>0</v>
      </c>
      <c r="C18" s="188">
        <v>42408</v>
      </c>
      <c r="D18" s="186"/>
      <c r="E18" s="188">
        <v>2403223</v>
      </c>
      <c r="F18" s="186">
        <v>209952.26</v>
      </c>
      <c r="G18" s="186">
        <v>44504</v>
      </c>
      <c r="H18" s="186"/>
      <c r="I18" s="188">
        <v>2103182</v>
      </c>
      <c r="J18" s="186">
        <v>107000</v>
      </c>
      <c r="K18" s="186">
        <v>0</v>
      </c>
    </row>
    <row r="19" spans="1:11" ht="12.75">
      <c r="A19" t="s">
        <v>7</v>
      </c>
      <c r="B19" s="189">
        <v>0</v>
      </c>
      <c r="C19" s="188">
        <v>23046</v>
      </c>
      <c r="D19" s="186"/>
      <c r="E19" s="188">
        <v>8718305.06</v>
      </c>
      <c r="F19" s="188">
        <v>3337139.71</v>
      </c>
      <c r="G19" s="186">
        <v>170597</v>
      </c>
      <c r="H19" s="186"/>
      <c r="I19" s="188">
        <v>7799900</v>
      </c>
      <c r="J19" s="186">
        <v>560000</v>
      </c>
      <c r="K19" s="188">
        <v>0</v>
      </c>
    </row>
    <row r="20" spans="1:11" ht="12.75">
      <c r="A20" t="s">
        <v>8</v>
      </c>
      <c r="B20" s="189">
        <v>0</v>
      </c>
      <c r="C20" s="350">
        <v>0</v>
      </c>
      <c r="D20" s="186"/>
      <c r="E20" s="188">
        <v>6580639</v>
      </c>
      <c r="F20" s="188">
        <f>3806596.6-2046902</f>
        <v>1759694.6</v>
      </c>
      <c r="G20" s="186">
        <v>95116</v>
      </c>
      <c r="H20" s="186"/>
      <c r="I20" s="186">
        <v>4090673</v>
      </c>
      <c r="J20" s="188">
        <v>246100</v>
      </c>
      <c r="K20" s="186">
        <v>0</v>
      </c>
    </row>
    <row r="21" spans="1:11" ht="12.75">
      <c r="A21" t="s">
        <v>9</v>
      </c>
      <c r="B21" s="189">
        <v>0</v>
      </c>
      <c r="C21" s="188">
        <v>23422</v>
      </c>
      <c r="D21" s="186"/>
      <c r="E21" s="188">
        <f>5560118+435072.97</f>
        <v>5995190.97</v>
      </c>
      <c r="F21" s="188">
        <v>1254834.74</v>
      </c>
      <c r="G21" s="186">
        <v>51000.5</v>
      </c>
      <c r="H21" s="186"/>
      <c r="I21" s="188">
        <v>8284681</v>
      </c>
      <c r="J21" s="186">
        <v>449000</v>
      </c>
      <c r="K21" s="186">
        <v>0</v>
      </c>
    </row>
    <row r="22" spans="1:11" ht="12.75">
      <c r="A22" t="s">
        <v>10</v>
      </c>
      <c r="B22" s="189">
        <v>0</v>
      </c>
      <c r="C22" s="188">
        <v>0</v>
      </c>
      <c r="D22" s="186"/>
      <c r="E22" s="188">
        <f>1245641+67422</f>
        <v>1313063</v>
      </c>
      <c r="F22" s="186">
        <v>0</v>
      </c>
      <c r="G22" s="186">
        <v>45976</v>
      </c>
      <c r="H22" s="186"/>
      <c r="I22" s="188">
        <v>1926761</v>
      </c>
      <c r="J22" s="186">
        <v>82000</v>
      </c>
      <c r="K22" s="186">
        <v>0</v>
      </c>
    </row>
    <row r="23" spans="2:11" ht="12.75">
      <c r="B23" s="273"/>
      <c r="C23" s="188"/>
      <c r="D23" s="186"/>
      <c r="E23" s="186"/>
      <c r="F23" s="186"/>
      <c r="G23" s="186"/>
      <c r="H23" s="186"/>
      <c r="I23" s="186"/>
      <c r="J23" s="186"/>
      <c r="K23" s="186"/>
    </row>
    <row r="24" spans="1:11" ht="12.75">
      <c r="A24" t="s">
        <v>11</v>
      </c>
      <c r="B24" s="189">
        <v>0</v>
      </c>
      <c r="C24" s="188">
        <v>10728</v>
      </c>
      <c r="D24" s="186"/>
      <c r="E24" s="188">
        <v>11923421</v>
      </c>
      <c r="F24" s="188">
        <v>2195366.87</v>
      </c>
      <c r="G24" s="186">
        <v>0</v>
      </c>
      <c r="H24" s="186"/>
      <c r="I24" s="188">
        <v>9365062</v>
      </c>
      <c r="J24" s="186">
        <v>864000</v>
      </c>
      <c r="K24" s="186">
        <v>0</v>
      </c>
    </row>
    <row r="25" spans="1:11" ht="12.75">
      <c r="A25" t="s">
        <v>12</v>
      </c>
      <c r="B25" s="351">
        <v>8820</v>
      </c>
      <c r="C25" s="188">
        <v>110250</v>
      </c>
      <c r="D25" s="186"/>
      <c r="E25" s="188">
        <v>1463189</v>
      </c>
      <c r="F25" s="188">
        <v>205603.82</v>
      </c>
      <c r="G25" s="186">
        <v>0</v>
      </c>
      <c r="H25" s="186"/>
      <c r="I25" s="188">
        <v>2453995</v>
      </c>
      <c r="J25" s="186">
        <v>46000</v>
      </c>
      <c r="K25" s="188">
        <v>0</v>
      </c>
    </row>
    <row r="26" spans="1:11" ht="12.75">
      <c r="A26" t="s">
        <v>13</v>
      </c>
      <c r="B26" s="189">
        <v>0</v>
      </c>
      <c r="C26" s="188">
        <v>189177</v>
      </c>
      <c r="D26" s="186"/>
      <c r="E26" s="188">
        <v>13196818</v>
      </c>
      <c r="F26" s="188">
        <v>4763641.74</v>
      </c>
      <c r="G26" s="186">
        <v>0</v>
      </c>
      <c r="H26" s="186"/>
      <c r="I26" s="188">
        <f>10525092-757000</f>
        <v>9768092</v>
      </c>
      <c r="J26" s="186">
        <v>757000</v>
      </c>
      <c r="K26" s="186">
        <v>0</v>
      </c>
    </row>
    <row r="27" spans="1:11" ht="12.75">
      <c r="A27" t="s">
        <v>14</v>
      </c>
      <c r="B27" s="189">
        <v>0</v>
      </c>
      <c r="C27" s="270">
        <v>523321</v>
      </c>
      <c r="D27" s="186"/>
      <c r="E27" s="188">
        <v>9357727</v>
      </c>
      <c r="F27" s="188">
        <v>3177363.13</v>
      </c>
      <c r="G27" s="186">
        <v>298039.07</v>
      </c>
      <c r="H27" s="186"/>
      <c r="I27" s="188">
        <v>11870103</v>
      </c>
      <c r="J27" s="186">
        <v>1131000</v>
      </c>
      <c r="K27" s="186">
        <v>0</v>
      </c>
    </row>
    <row r="28" spans="1:11" ht="12.75">
      <c r="A28" t="s">
        <v>15</v>
      </c>
      <c r="B28" s="189">
        <v>0</v>
      </c>
      <c r="C28" s="270">
        <v>0</v>
      </c>
      <c r="D28" s="186"/>
      <c r="E28" s="188">
        <v>699505</v>
      </c>
      <c r="F28" s="186">
        <v>0</v>
      </c>
      <c r="G28" s="186">
        <v>7417</v>
      </c>
      <c r="H28" s="186"/>
      <c r="I28" s="188">
        <f>1325591-44000</f>
        <v>1281591</v>
      </c>
      <c r="J28" s="186">
        <v>44000</v>
      </c>
      <c r="K28" s="186">
        <v>0</v>
      </c>
    </row>
    <row r="29" spans="1:11" ht="12.75">
      <c r="A29" s="1"/>
      <c r="B29" s="273"/>
      <c r="C29" s="188"/>
      <c r="D29" s="186"/>
      <c r="E29" s="186"/>
      <c r="F29" s="186"/>
      <c r="G29" s="186"/>
      <c r="H29" s="186"/>
      <c r="I29" s="186"/>
      <c r="J29" s="186"/>
      <c r="K29" s="186"/>
    </row>
    <row r="30" spans="1:11" ht="12.75">
      <c r="A30" t="s">
        <v>16</v>
      </c>
      <c r="B30" s="189">
        <v>0</v>
      </c>
      <c r="C30" s="188">
        <v>467550</v>
      </c>
      <c r="D30" s="186"/>
      <c r="E30" s="188">
        <v>34117738.44</v>
      </c>
      <c r="F30" s="188">
        <v>12988480.05</v>
      </c>
      <c r="G30" s="186">
        <v>0</v>
      </c>
      <c r="H30" s="186"/>
      <c r="I30" s="188">
        <f>30678135-5151000</f>
        <v>25527135</v>
      </c>
      <c r="J30" s="186">
        <v>5151000</v>
      </c>
      <c r="K30" s="186">
        <v>0</v>
      </c>
    </row>
    <row r="31" spans="1:11" ht="12.75">
      <c r="A31" t="s">
        <v>17</v>
      </c>
      <c r="B31" s="189">
        <v>0</v>
      </c>
      <c r="C31" s="188">
        <v>263553</v>
      </c>
      <c r="D31" s="186"/>
      <c r="E31" s="188">
        <v>42265248.23</v>
      </c>
      <c r="F31" s="188">
        <v>26626255.4</v>
      </c>
      <c r="G31" s="186">
        <v>0</v>
      </c>
      <c r="H31" s="186"/>
      <c r="I31" s="188">
        <v>28120356</v>
      </c>
      <c r="J31" s="186">
        <v>5317000</v>
      </c>
      <c r="K31" s="186">
        <v>0</v>
      </c>
    </row>
    <row r="32" spans="1:11" ht="12.75">
      <c r="A32" t="s">
        <v>18</v>
      </c>
      <c r="B32" s="189">
        <v>0</v>
      </c>
      <c r="C32" s="188">
        <v>30556</v>
      </c>
      <c r="D32" s="186"/>
      <c r="E32" s="188">
        <v>1955839</v>
      </c>
      <c r="F32" s="188">
        <v>334334.83</v>
      </c>
      <c r="G32" s="186">
        <v>57157</v>
      </c>
      <c r="H32" s="186"/>
      <c r="I32" s="188">
        <f>2766665-74000</f>
        <v>2692665</v>
      </c>
      <c r="J32" s="186">
        <v>74000</v>
      </c>
      <c r="K32" s="186">
        <v>0</v>
      </c>
    </row>
    <row r="33" spans="1:11" ht="12.75">
      <c r="A33" t="s">
        <v>19</v>
      </c>
      <c r="B33" s="189">
        <v>0</v>
      </c>
      <c r="C33" s="188">
        <v>0</v>
      </c>
      <c r="D33" s="186"/>
      <c r="E33" s="188">
        <v>5836267.3</v>
      </c>
      <c r="F33" s="188">
        <v>659945.52</v>
      </c>
      <c r="G33" s="186">
        <v>0</v>
      </c>
      <c r="H33" s="186"/>
      <c r="I33" s="188">
        <f>5471378-348000</f>
        <v>5123378</v>
      </c>
      <c r="J33" s="186">
        <v>348000</v>
      </c>
      <c r="K33" s="186">
        <v>0</v>
      </c>
    </row>
    <row r="34" spans="1:11" ht="12.75">
      <c r="A34" t="s">
        <v>20</v>
      </c>
      <c r="B34" s="189">
        <v>0</v>
      </c>
      <c r="C34" s="188">
        <v>0</v>
      </c>
      <c r="D34" s="186"/>
      <c r="E34" s="188">
        <v>1247003</v>
      </c>
      <c r="F34" s="188">
        <v>0</v>
      </c>
      <c r="G34" s="186">
        <v>11780</v>
      </c>
      <c r="H34" s="186"/>
      <c r="I34" s="188">
        <v>1495486</v>
      </c>
      <c r="J34" s="186">
        <v>65000</v>
      </c>
      <c r="K34" s="186">
        <v>35000</v>
      </c>
    </row>
    <row r="35" spans="2:11" ht="12.75">
      <c r="B35" s="273"/>
      <c r="C35" s="188"/>
      <c r="D35" s="186"/>
      <c r="E35" s="186"/>
      <c r="F35" s="188"/>
      <c r="G35" s="186"/>
      <c r="H35" s="186"/>
      <c r="I35" s="186"/>
      <c r="J35" s="186"/>
      <c r="K35" s="186"/>
    </row>
    <row r="36" spans="1:11" ht="12.75">
      <c r="A36" t="s">
        <v>21</v>
      </c>
      <c r="B36" s="189">
        <v>0</v>
      </c>
      <c r="C36" s="188">
        <v>6998</v>
      </c>
      <c r="D36" s="186"/>
      <c r="E36" s="188">
        <v>784714</v>
      </c>
      <c r="F36" s="188">
        <v>0</v>
      </c>
      <c r="G36" s="186">
        <v>31315</v>
      </c>
      <c r="H36" s="186"/>
      <c r="I36" s="188">
        <f>1302696.67-11000</f>
        <v>1291696.67</v>
      </c>
      <c r="J36" s="186">
        <v>11000</v>
      </c>
      <c r="K36" s="186">
        <v>0</v>
      </c>
    </row>
    <row r="37" spans="1:11" ht="12.75">
      <c r="A37" t="s">
        <v>22</v>
      </c>
      <c r="B37" s="189">
        <v>40377</v>
      </c>
      <c r="C37" s="188">
        <v>14979</v>
      </c>
      <c r="D37" s="186"/>
      <c r="E37" s="188">
        <v>7644063</v>
      </c>
      <c r="F37" s="188">
        <v>1543158</v>
      </c>
      <c r="G37" s="186">
        <v>113877</v>
      </c>
      <c r="H37" s="186"/>
      <c r="I37" s="188">
        <v>5417560</v>
      </c>
      <c r="J37" s="188">
        <v>343000</v>
      </c>
      <c r="K37" s="188">
        <v>0</v>
      </c>
    </row>
    <row r="38" spans="1:11" ht="12.75">
      <c r="A38" t="s">
        <v>23</v>
      </c>
      <c r="B38" s="189">
        <v>0</v>
      </c>
      <c r="C38" s="188">
        <v>19606</v>
      </c>
      <c r="D38" s="186"/>
      <c r="E38" s="188">
        <v>5717580</v>
      </c>
      <c r="F38" s="188">
        <v>204394.1</v>
      </c>
      <c r="G38" s="186">
        <v>181422.77</v>
      </c>
      <c r="H38" s="186"/>
      <c r="I38" s="188">
        <v>4063008</v>
      </c>
      <c r="J38" s="186">
        <v>286000</v>
      </c>
      <c r="K38" s="186">
        <v>0</v>
      </c>
    </row>
    <row r="39" spans="1:11" ht="12.75">
      <c r="A39" s="12" t="s">
        <v>24</v>
      </c>
      <c r="B39" s="192">
        <v>0</v>
      </c>
      <c r="C39" s="323">
        <v>0</v>
      </c>
      <c r="D39" s="192"/>
      <c r="E39" s="352">
        <v>1373249.01</v>
      </c>
      <c r="F39" s="192">
        <v>0</v>
      </c>
      <c r="G39" s="192">
        <v>23996.97</v>
      </c>
      <c r="H39" s="192"/>
      <c r="I39" s="352">
        <f>2503779-61000</f>
        <v>2442779</v>
      </c>
      <c r="J39" s="192">
        <v>61000</v>
      </c>
      <c r="K39" s="192">
        <v>0</v>
      </c>
    </row>
    <row r="40" spans="2:10" ht="12.75">
      <c r="B40" s="186"/>
      <c r="C40" s="186"/>
      <c r="D40" s="186"/>
      <c r="J40" s="186"/>
    </row>
    <row r="41" spans="2:10" ht="12.75">
      <c r="B41" s="186"/>
      <c r="C41" s="186"/>
      <c r="D41" s="186"/>
      <c r="H41" s="61"/>
      <c r="J41" s="186"/>
    </row>
    <row r="42" spans="2:10" ht="12.75">
      <c r="B42" s="186"/>
      <c r="C42" s="186"/>
      <c r="D42" s="186"/>
      <c r="F42" s="87"/>
      <c r="J42" s="186"/>
    </row>
    <row r="43" spans="2:10" ht="12.75">
      <c r="B43" s="186"/>
      <c r="C43" s="186"/>
      <c r="D43" s="186"/>
      <c r="J43" s="186"/>
    </row>
    <row r="44" spans="2:10" ht="12.75">
      <c r="B44" s="186"/>
      <c r="C44" s="186"/>
      <c r="D44" s="186"/>
      <c r="J44" s="186"/>
    </row>
    <row r="45" ht="12.75">
      <c r="J45" s="186"/>
    </row>
    <row r="46" ht="12.75">
      <c r="J46" s="186"/>
    </row>
    <row r="47" ht="12.75">
      <c r="J47" s="186"/>
    </row>
    <row r="48" ht="12.75">
      <c r="J48" s="186"/>
    </row>
    <row r="49" ht="12.75">
      <c r="J49" s="186"/>
    </row>
    <row r="50" ht="12.75">
      <c r="J50" s="186"/>
    </row>
    <row r="51" ht="12.75">
      <c r="J51" s="186"/>
    </row>
    <row r="52" ht="12.75">
      <c r="J52" s="186"/>
    </row>
    <row r="53" ht="12.75">
      <c r="J53" s="186"/>
    </row>
    <row r="54" ht="12.75">
      <c r="J54" s="186"/>
    </row>
    <row r="55" ht="12.75">
      <c r="J55" s="186"/>
    </row>
    <row r="56" ht="12.75">
      <c r="J56" s="186"/>
    </row>
    <row r="57" ht="12.75">
      <c r="J57" s="186"/>
    </row>
    <row r="58" ht="12.75">
      <c r="J58" s="186"/>
    </row>
    <row r="59" ht="12.75">
      <c r="J59" s="186"/>
    </row>
    <row r="60" ht="12.75">
      <c r="J60" s="186"/>
    </row>
    <row r="61" ht="12.75">
      <c r="J61" s="186"/>
    </row>
    <row r="62" ht="12.75">
      <c r="J62" s="186"/>
    </row>
    <row r="63" ht="12.75">
      <c r="J63" s="186"/>
    </row>
    <row r="64" ht="12.75">
      <c r="J64" s="186"/>
    </row>
    <row r="65" ht="12.75">
      <c r="J65" s="186"/>
    </row>
    <row r="66" ht="12.75">
      <c r="J66" s="186"/>
    </row>
    <row r="67" ht="12.75">
      <c r="J67" s="186"/>
    </row>
    <row r="68" ht="12.75">
      <c r="J68" s="186"/>
    </row>
    <row r="69" ht="12.75">
      <c r="J69" s="186"/>
    </row>
    <row r="70" ht="12.75">
      <c r="J70" s="186"/>
    </row>
    <row r="71" ht="12.75">
      <c r="J71" s="186"/>
    </row>
    <row r="72" ht="12.75">
      <c r="J72" s="186"/>
    </row>
    <row r="73" ht="12.75">
      <c r="J73" s="186"/>
    </row>
    <row r="74" ht="12.75">
      <c r="J74" s="186"/>
    </row>
    <row r="75" ht="12.75">
      <c r="J75" s="186"/>
    </row>
    <row r="76" ht="12.75">
      <c r="J76" s="186"/>
    </row>
    <row r="77" ht="12.75">
      <c r="J77" s="186"/>
    </row>
    <row r="78" ht="12.75">
      <c r="J78" s="186"/>
    </row>
    <row r="79" ht="12.75">
      <c r="J79" s="186"/>
    </row>
    <row r="80" ht="12.75">
      <c r="J80" s="186"/>
    </row>
    <row r="81" ht="12.75">
      <c r="J81" s="186"/>
    </row>
    <row r="82" ht="12.75">
      <c r="J82" s="186"/>
    </row>
    <row r="83" ht="12.75">
      <c r="J83" s="186"/>
    </row>
    <row r="84" ht="12.75">
      <c r="J84" s="186"/>
    </row>
    <row r="85" ht="12.75">
      <c r="J85" s="186"/>
    </row>
    <row r="86" ht="12.75">
      <c r="J86" s="186"/>
    </row>
    <row r="87" ht="12.75">
      <c r="J87" s="186"/>
    </row>
    <row r="88" ht="12.75">
      <c r="J88" s="186"/>
    </row>
    <row r="89" ht="12.75">
      <c r="J89" s="186"/>
    </row>
    <row r="90" ht="12.75">
      <c r="J90" s="186"/>
    </row>
    <row r="91" ht="12.75">
      <c r="J91" s="186"/>
    </row>
    <row r="92" ht="12.75">
      <c r="J92" s="186"/>
    </row>
    <row r="93" ht="12.75">
      <c r="J93" s="186"/>
    </row>
    <row r="94" ht="12.75">
      <c r="J94" s="186"/>
    </row>
    <row r="95" ht="12.75">
      <c r="J95" s="186"/>
    </row>
    <row r="96" ht="12.75">
      <c r="J96" s="186"/>
    </row>
    <row r="97" ht="12.75">
      <c r="J97" s="186"/>
    </row>
    <row r="98" ht="12.75">
      <c r="J98" s="186"/>
    </row>
    <row r="99" ht="12.75">
      <c r="J99" s="186"/>
    </row>
    <row r="100" ht="12.75">
      <c r="J100" s="186"/>
    </row>
    <row r="101" ht="12.75">
      <c r="J101" s="186"/>
    </row>
    <row r="102" ht="12.75">
      <c r="J102" s="186"/>
    </row>
    <row r="103" ht="12.75">
      <c r="J103" s="186"/>
    </row>
    <row r="104" ht="12.75">
      <c r="J104" s="186"/>
    </row>
    <row r="105" ht="12.75">
      <c r="J105" s="186"/>
    </row>
    <row r="106" ht="12.75">
      <c r="J106" s="186"/>
    </row>
    <row r="107" ht="12.75">
      <c r="J107" s="186"/>
    </row>
    <row r="108" ht="12.75">
      <c r="J108" s="186"/>
    </row>
    <row r="109" ht="12.75">
      <c r="J109" s="186"/>
    </row>
    <row r="110" ht="12.75">
      <c r="J110" s="186"/>
    </row>
    <row r="111" ht="12.75">
      <c r="J111" s="186"/>
    </row>
    <row r="112" ht="12.75">
      <c r="J112" s="186"/>
    </row>
    <row r="113" ht="12.75">
      <c r="J113" s="186"/>
    </row>
    <row r="114" ht="12.75">
      <c r="J114" s="186"/>
    </row>
    <row r="115" ht="12.75">
      <c r="J115" s="186"/>
    </row>
    <row r="116" ht="12.75">
      <c r="J116" s="186"/>
    </row>
    <row r="117" ht="12.75">
      <c r="J117" s="186"/>
    </row>
    <row r="118" ht="12.75">
      <c r="J118" s="186"/>
    </row>
    <row r="119" ht="12.75">
      <c r="J119" s="186"/>
    </row>
    <row r="120" ht="12.75">
      <c r="J120" s="186"/>
    </row>
    <row r="121" ht="12.75">
      <c r="J121" s="186"/>
    </row>
    <row r="122" ht="12.75">
      <c r="J122" s="186"/>
    </row>
    <row r="123" ht="12.75">
      <c r="J123" s="186"/>
    </row>
    <row r="124" ht="12.75">
      <c r="J124" s="186"/>
    </row>
    <row r="125" ht="12.75">
      <c r="J125" s="186"/>
    </row>
    <row r="126" ht="12.75">
      <c r="J126" s="186"/>
    </row>
    <row r="127" ht="12.75">
      <c r="J127" s="186"/>
    </row>
    <row r="128" ht="12.75">
      <c r="J128" s="186"/>
    </row>
    <row r="129" ht="12.75">
      <c r="J129" s="186"/>
    </row>
    <row r="130" ht="12.75">
      <c r="J130" s="186"/>
    </row>
    <row r="131" ht="12.75">
      <c r="J131" s="186"/>
    </row>
    <row r="132" ht="12.75">
      <c r="J132" s="186"/>
    </row>
    <row r="133" ht="12.75">
      <c r="J133" s="186"/>
    </row>
    <row r="134" ht="12.75">
      <c r="J134" s="186"/>
    </row>
    <row r="135" ht="12.75">
      <c r="J135" s="186"/>
    </row>
    <row r="136" ht="12.75">
      <c r="J136" s="186"/>
    </row>
    <row r="137" ht="12.75">
      <c r="J137" s="186"/>
    </row>
    <row r="138" ht="12.75">
      <c r="J138" s="186"/>
    </row>
    <row r="139" ht="12.75">
      <c r="J139" s="186"/>
    </row>
    <row r="140" ht="12.75">
      <c r="J140" s="186"/>
    </row>
    <row r="141" ht="12.75">
      <c r="J141" s="186"/>
    </row>
    <row r="142" ht="12.75">
      <c r="J142" s="186"/>
    </row>
    <row r="143" ht="12.75">
      <c r="J143" s="186"/>
    </row>
    <row r="144" ht="12.75">
      <c r="J144" s="186"/>
    </row>
    <row r="145" ht="12.75">
      <c r="J145" s="186"/>
    </row>
    <row r="146" ht="12.75">
      <c r="J146" s="186"/>
    </row>
    <row r="147" ht="12.75">
      <c r="J147" s="186"/>
    </row>
    <row r="148" ht="12.75">
      <c r="J148" s="186"/>
    </row>
    <row r="149" ht="12.75">
      <c r="J149" s="186"/>
    </row>
    <row r="150" ht="12.75">
      <c r="J150" s="186"/>
    </row>
    <row r="151" ht="12.75">
      <c r="J151" s="186"/>
    </row>
    <row r="152" ht="12.75">
      <c r="J152" s="186"/>
    </row>
    <row r="153" ht="12.75">
      <c r="J153" s="186"/>
    </row>
    <row r="154" ht="12.75">
      <c r="J154" s="186"/>
    </row>
    <row r="155" ht="12.75">
      <c r="J155" s="186"/>
    </row>
    <row r="156" ht="12.75">
      <c r="J156" s="186"/>
    </row>
    <row r="157" ht="12.75">
      <c r="J157" s="186"/>
    </row>
    <row r="158" ht="12.75">
      <c r="J158" s="186"/>
    </row>
    <row r="159" ht="12.75">
      <c r="J159" s="186"/>
    </row>
    <row r="160" ht="12.75">
      <c r="J160" s="186"/>
    </row>
    <row r="161" ht="12.75">
      <c r="J161" s="186"/>
    </row>
    <row r="162" ht="12.75">
      <c r="J162" s="186"/>
    </row>
    <row r="163" ht="12.75">
      <c r="J163" s="186"/>
    </row>
    <row r="164" ht="12.75">
      <c r="J164" s="186"/>
    </row>
    <row r="165" ht="12.75">
      <c r="J165" s="186"/>
    </row>
    <row r="166" ht="12.75">
      <c r="J166" s="186"/>
    </row>
    <row r="167" ht="12.75">
      <c r="J167" s="186"/>
    </row>
    <row r="168" ht="12.75">
      <c r="J168" s="186"/>
    </row>
    <row r="169" ht="12.75">
      <c r="J169" s="186"/>
    </row>
    <row r="170" ht="12.75">
      <c r="J170" s="186"/>
    </row>
    <row r="171" ht="12.75">
      <c r="J171" s="186"/>
    </row>
    <row r="172" ht="12.75">
      <c r="J172" s="186"/>
    </row>
    <row r="173" ht="12.75">
      <c r="J173" s="186"/>
    </row>
    <row r="174" ht="12.75">
      <c r="J174" s="186"/>
    </row>
    <row r="175" ht="12.75">
      <c r="J175" s="186"/>
    </row>
    <row r="176" ht="12.75">
      <c r="J176" s="186"/>
    </row>
    <row r="177" ht="12.75">
      <c r="J177" s="186"/>
    </row>
    <row r="178" ht="12.75">
      <c r="J178" s="186"/>
    </row>
    <row r="179" ht="12.75">
      <c r="J179" s="186"/>
    </row>
    <row r="180" ht="12.75">
      <c r="J180" s="186"/>
    </row>
    <row r="181" ht="12.75">
      <c r="J181" s="186"/>
    </row>
    <row r="182" ht="12.75">
      <c r="J182" s="186"/>
    </row>
    <row r="183" ht="12.75">
      <c r="J183" s="186"/>
    </row>
    <row r="184" ht="12.75">
      <c r="J184" s="186"/>
    </row>
    <row r="185" ht="12.75">
      <c r="J185" s="186"/>
    </row>
    <row r="186" ht="12.75">
      <c r="J186" s="186"/>
    </row>
    <row r="187" ht="12.75">
      <c r="J187" s="186"/>
    </row>
    <row r="188" ht="12.75">
      <c r="J188" s="186"/>
    </row>
    <row r="189" ht="12.75">
      <c r="J189" s="186"/>
    </row>
    <row r="190" ht="12.75">
      <c r="J190" s="186"/>
    </row>
    <row r="191" ht="12.75">
      <c r="J191" s="186"/>
    </row>
    <row r="192" ht="12.75">
      <c r="J192" s="186"/>
    </row>
    <row r="193" ht="12.75">
      <c r="J193" s="186"/>
    </row>
    <row r="194" ht="12.75">
      <c r="J194" s="186"/>
    </row>
    <row r="195" ht="12.75">
      <c r="J195" s="186"/>
    </row>
    <row r="196" ht="12.75">
      <c r="J196" s="186"/>
    </row>
    <row r="197" ht="12.75">
      <c r="J197" s="186"/>
    </row>
    <row r="198" ht="12.75">
      <c r="J198" s="186"/>
    </row>
    <row r="199" ht="12.75">
      <c r="J199" s="186"/>
    </row>
    <row r="200" ht="12.75">
      <c r="J200" s="186"/>
    </row>
    <row r="201" ht="12.75">
      <c r="J201" s="186"/>
    </row>
    <row r="202" ht="12.75">
      <c r="J202" s="186"/>
    </row>
    <row r="203" ht="12.75">
      <c r="J203" s="186"/>
    </row>
    <row r="204" ht="12.75">
      <c r="J204" s="186"/>
    </row>
    <row r="205" ht="12.75">
      <c r="J205" s="186"/>
    </row>
    <row r="206" ht="12.75">
      <c r="J206" s="186"/>
    </row>
    <row r="207" ht="12.75">
      <c r="J207" s="186"/>
    </row>
    <row r="208" ht="12.75">
      <c r="J208" s="186"/>
    </row>
    <row r="209" ht="12.75">
      <c r="J209" s="186"/>
    </row>
    <row r="210" ht="12.75">
      <c r="J210" s="186"/>
    </row>
    <row r="211" ht="12.75">
      <c r="J211" s="186"/>
    </row>
    <row r="212" ht="12.75">
      <c r="J212" s="186"/>
    </row>
    <row r="213" ht="12.75">
      <c r="J213" s="186"/>
    </row>
    <row r="214" ht="12.75">
      <c r="J214" s="186"/>
    </row>
    <row r="215" ht="12.75">
      <c r="J215" s="186"/>
    </row>
    <row r="216" ht="12.75">
      <c r="J216" s="186"/>
    </row>
    <row r="217" ht="12.75">
      <c r="J217" s="186"/>
    </row>
    <row r="218" ht="12.75">
      <c r="J218" s="186"/>
    </row>
    <row r="219" ht="12.75">
      <c r="J219" s="186"/>
    </row>
    <row r="220" ht="12.75">
      <c r="J220" s="186"/>
    </row>
    <row r="221" ht="12.75">
      <c r="J221" s="186"/>
    </row>
    <row r="222" ht="12.75">
      <c r="J222" s="186"/>
    </row>
    <row r="223" ht="12.75">
      <c r="J223" s="186"/>
    </row>
    <row r="224" ht="12.75">
      <c r="J224" s="186"/>
    </row>
    <row r="225" ht="12.75">
      <c r="J225" s="186"/>
    </row>
    <row r="226" ht="12.75">
      <c r="J226" s="186"/>
    </row>
    <row r="227" ht="12.75">
      <c r="J227" s="186"/>
    </row>
    <row r="228" ht="12.75">
      <c r="J228" s="186"/>
    </row>
    <row r="229" ht="12.75">
      <c r="J229" s="186"/>
    </row>
    <row r="230" ht="12.75">
      <c r="J230" s="186"/>
    </row>
    <row r="231" ht="12.75">
      <c r="J231" s="186"/>
    </row>
    <row r="232" ht="12.75">
      <c r="J232" s="186"/>
    </row>
    <row r="233" ht="12.75">
      <c r="J233" s="186"/>
    </row>
    <row r="234" ht="12.75">
      <c r="J234" s="186"/>
    </row>
    <row r="235" ht="12.75">
      <c r="J235" s="186"/>
    </row>
    <row r="236" ht="12.75">
      <c r="J236" s="186"/>
    </row>
    <row r="237" ht="12.75">
      <c r="J237" s="186"/>
    </row>
    <row r="238" ht="12.75">
      <c r="J238" s="186"/>
    </row>
    <row r="239" ht="12.75">
      <c r="J239" s="186"/>
    </row>
    <row r="240" ht="12.75">
      <c r="J240" s="186"/>
    </row>
    <row r="241" ht="12.75">
      <c r="J241" s="186"/>
    </row>
    <row r="242" ht="12.75">
      <c r="J242" s="186"/>
    </row>
    <row r="243" ht="12.75">
      <c r="J243" s="186"/>
    </row>
    <row r="244" ht="12.75">
      <c r="J244" s="186"/>
    </row>
    <row r="245" ht="12.75">
      <c r="J245" s="186"/>
    </row>
    <row r="246" ht="12.75">
      <c r="J246" s="186"/>
    </row>
    <row r="247" ht="12.75">
      <c r="J247" s="186"/>
    </row>
    <row r="248" ht="12.75">
      <c r="J248" s="186"/>
    </row>
    <row r="249" ht="12.75">
      <c r="J249" s="186"/>
    </row>
    <row r="250" ht="12.75">
      <c r="J250" s="186"/>
    </row>
    <row r="251" ht="12.75">
      <c r="J251" s="186"/>
    </row>
    <row r="252" ht="12.75">
      <c r="J252" s="186"/>
    </row>
    <row r="253" ht="12.75">
      <c r="J253" s="186"/>
    </row>
    <row r="254" ht="12.75">
      <c r="J254" s="186"/>
    </row>
    <row r="255" ht="12.75">
      <c r="J255" s="186"/>
    </row>
    <row r="256" ht="12.75">
      <c r="J256" s="186"/>
    </row>
    <row r="257" ht="12.75">
      <c r="J257" s="186"/>
    </row>
    <row r="258" ht="12.75">
      <c r="J258" s="186"/>
    </row>
    <row r="259" ht="12.75">
      <c r="J259" s="186"/>
    </row>
    <row r="260" ht="12.75">
      <c r="J260" s="186"/>
    </row>
    <row r="261" ht="12.75">
      <c r="J261" s="186"/>
    </row>
    <row r="262" ht="12.75">
      <c r="J262" s="186"/>
    </row>
    <row r="263" ht="12.75">
      <c r="J263" s="186"/>
    </row>
    <row r="264" ht="12.75">
      <c r="J264" s="186"/>
    </row>
    <row r="265" ht="12.75">
      <c r="J265" s="186"/>
    </row>
    <row r="266" ht="12.75">
      <c r="J266" s="186"/>
    </row>
    <row r="267" ht="12.75">
      <c r="J267" s="186"/>
    </row>
    <row r="268" ht="12.75">
      <c r="J268" s="186"/>
    </row>
    <row r="269" ht="12.75">
      <c r="J269" s="186"/>
    </row>
    <row r="270" ht="12.75">
      <c r="J270" s="186"/>
    </row>
    <row r="271" ht="12.75">
      <c r="J271" s="186"/>
    </row>
    <row r="272" ht="12.75">
      <c r="J272" s="186"/>
    </row>
    <row r="273" ht="12.75">
      <c r="J273" s="186"/>
    </row>
    <row r="274" ht="12.75">
      <c r="J274" s="186"/>
    </row>
    <row r="275" ht="12.75">
      <c r="J275" s="186"/>
    </row>
    <row r="276" ht="12.75">
      <c r="J276" s="186"/>
    </row>
    <row r="277" ht="12.75">
      <c r="J277" s="186"/>
    </row>
    <row r="278" ht="12.75">
      <c r="J278" s="186"/>
    </row>
    <row r="279" ht="12.75">
      <c r="J279" s="186"/>
    </row>
    <row r="280" ht="12.75">
      <c r="J280" s="186"/>
    </row>
    <row r="281" ht="12.75">
      <c r="J281" s="186"/>
    </row>
    <row r="282" ht="12.75">
      <c r="J282" s="186"/>
    </row>
    <row r="283" ht="12.75">
      <c r="J283" s="186"/>
    </row>
    <row r="284" ht="12.75">
      <c r="J284" s="186"/>
    </row>
    <row r="285" ht="12.75">
      <c r="J285" s="186"/>
    </row>
    <row r="286" ht="12.75">
      <c r="J286" s="186"/>
    </row>
    <row r="287" ht="12.75">
      <c r="J287" s="186"/>
    </row>
    <row r="288" ht="12.75">
      <c r="J288" s="186"/>
    </row>
    <row r="289" ht="12.75">
      <c r="J289" s="186"/>
    </row>
    <row r="290" ht="12.75">
      <c r="J290" s="186"/>
    </row>
    <row r="291" ht="12.75">
      <c r="J291" s="186"/>
    </row>
    <row r="292" ht="12.75">
      <c r="J292" s="186"/>
    </row>
    <row r="293" ht="12.75">
      <c r="J293" s="186"/>
    </row>
    <row r="294" ht="12.75">
      <c r="J294" s="186"/>
    </row>
    <row r="295" ht="12.75">
      <c r="J295" s="186"/>
    </row>
    <row r="296" ht="12.75">
      <c r="J296" s="186"/>
    </row>
    <row r="297" ht="12.75">
      <c r="J297" s="186"/>
    </row>
    <row r="298" ht="12.75">
      <c r="J298" s="186"/>
    </row>
    <row r="299" ht="12.75">
      <c r="J299" s="186"/>
    </row>
    <row r="300" ht="12.75">
      <c r="J300" s="186"/>
    </row>
    <row r="301" ht="12.75">
      <c r="J301" s="186"/>
    </row>
    <row r="302" ht="12.75">
      <c r="J302" s="186"/>
    </row>
    <row r="303" ht="12.75">
      <c r="J303" s="186"/>
    </row>
    <row r="304" ht="12.75">
      <c r="J304" s="186"/>
    </row>
    <row r="305" ht="12.75">
      <c r="J305" s="186"/>
    </row>
    <row r="306" ht="12.75">
      <c r="J306" s="186"/>
    </row>
    <row r="307" ht="12.75">
      <c r="J307" s="186"/>
    </row>
    <row r="308" ht="12.75">
      <c r="J308" s="186"/>
    </row>
    <row r="309" ht="12.75">
      <c r="J309" s="186"/>
    </row>
    <row r="310" ht="12.75">
      <c r="J310" s="186"/>
    </row>
    <row r="311" ht="12.75">
      <c r="J311" s="186"/>
    </row>
    <row r="312" ht="12.75">
      <c r="J312" s="186"/>
    </row>
    <row r="313" ht="12.75">
      <c r="J313" s="186"/>
    </row>
    <row r="314" ht="12.75">
      <c r="J314" s="186"/>
    </row>
    <row r="315" ht="12.75">
      <c r="J315" s="186"/>
    </row>
    <row r="316" ht="12.75">
      <c r="J316" s="186"/>
    </row>
    <row r="317" ht="12.75">
      <c r="J317" s="186"/>
    </row>
    <row r="318" ht="12.75">
      <c r="J318" s="186"/>
    </row>
    <row r="319" ht="12.75">
      <c r="J319" s="186"/>
    </row>
    <row r="320" ht="12.75">
      <c r="J320" s="186"/>
    </row>
    <row r="321" ht="12.75">
      <c r="J321" s="186"/>
    </row>
    <row r="322" ht="12.75">
      <c r="J322" s="186"/>
    </row>
    <row r="323" ht="12.75">
      <c r="J323" s="186"/>
    </row>
    <row r="324" ht="12.75">
      <c r="J324" s="186"/>
    </row>
    <row r="325" ht="12.75">
      <c r="J325" s="186"/>
    </row>
    <row r="326" ht="12.75">
      <c r="J326" s="186"/>
    </row>
    <row r="327" ht="12.75">
      <c r="J327" s="186"/>
    </row>
    <row r="328" ht="12.75">
      <c r="J328" s="186"/>
    </row>
    <row r="329" ht="12.75">
      <c r="J329" s="186"/>
    </row>
    <row r="330" ht="12.75">
      <c r="J330" s="186"/>
    </row>
    <row r="331" ht="12.75">
      <c r="J331" s="186"/>
    </row>
    <row r="332" ht="12.75">
      <c r="J332" s="186"/>
    </row>
    <row r="333" ht="12.75">
      <c r="J333" s="186"/>
    </row>
    <row r="334" ht="12.75">
      <c r="J334" s="186"/>
    </row>
    <row r="335" ht="12.75">
      <c r="J335" s="186"/>
    </row>
    <row r="336" ht="12.75">
      <c r="J336" s="186"/>
    </row>
    <row r="337" ht="12.75">
      <c r="J337" s="186"/>
    </row>
    <row r="338" ht="12.75">
      <c r="J338" s="186"/>
    </row>
    <row r="339" ht="12.75">
      <c r="J339" s="186"/>
    </row>
    <row r="340" ht="12.75">
      <c r="J340" s="186"/>
    </row>
  </sheetData>
  <sheetProtection password="CAF5" sheet="1"/>
  <mergeCells count="9">
    <mergeCell ref="B5:K5"/>
    <mergeCell ref="I7:I9"/>
    <mergeCell ref="J7:J9"/>
    <mergeCell ref="A1:J1"/>
    <mergeCell ref="B6:C6"/>
    <mergeCell ref="E6:G6"/>
    <mergeCell ref="G7:G9"/>
    <mergeCell ref="A3:J3"/>
    <mergeCell ref="I6:K6"/>
  </mergeCells>
  <printOptions horizontalCentered="1"/>
  <pageMargins left="0.68" right="0.61" top="0.83" bottom="1" header="0.67" footer="0.5"/>
  <pageSetup fitToHeight="1" fitToWidth="1" horizontalDpi="600" verticalDpi="600" orientation="landscape" scale="94" r:id="rId1"/>
  <headerFooter alignWithMargins="0">
    <oddFooter>&amp;L&amp;"Arial,Italic"&amp;9MSDE-DBS 10 / 2009&amp;C- 8 -&amp;R&amp;"Arial,Italic"&amp;9Selected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view="pageLayout" workbookViewId="0" topLeftCell="A1">
      <selection activeCell="K23" sqref="K23"/>
    </sheetView>
  </sheetViews>
  <sheetFormatPr defaultColWidth="9.140625" defaultRowHeight="12.75"/>
  <cols>
    <col min="1" max="3" width="14.140625" style="0" customWidth="1"/>
    <col min="4" max="4" width="12.57421875" style="105" customWidth="1"/>
    <col min="5" max="5" width="13.28125" style="105" customWidth="1"/>
    <col min="6" max="6" width="14.00390625" style="105" customWidth="1"/>
    <col min="7" max="7" width="12.140625" style="0" customWidth="1"/>
    <col min="8" max="8" width="11.8515625" style="0" customWidth="1"/>
    <col min="9" max="9" width="11.28125" style="0" bestFit="1" customWidth="1"/>
  </cols>
  <sheetData>
    <row r="1" spans="1:9" ht="12.75">
      <c r="A1" s="380" t="s">
        <v>125</v>
      </c>
      <c r="B1" s="380"/>
      <c r="C1" s="380"/>
      <c r="D1" s="380"/>
      <c r="E1" s="380"/>
      <c r="F1" s="380"/>
      <c r="G1" s="380"/>
      <c r="H1" s="380"/>
      <c r="I1" s="380"/>
    </row>
    <row r="2" spans="1:5" ht="12.75">
      <c r="A2" s="19"/>
      <c r="B2" s="19"/>
      <c r="C2" s="19"/>
      <c r="D2" s="222"/>
      <c r="E2" s="222"/>
    </row>
    <row r="3" spans="1:9" s="59" customFormat="1" ht="12.75">
      <c r="A3" s="425" t="s">
        <v>259</v>
      </c>
      <c r="B3" s="425"/>
      <c r="C3" s="425"/>
      <c r="D3" s="425"/>
      <c r="E3" s="425"/>
      <c r="F3" s="425"/>
      <c r="G3" s="425"/>
      <c r="H3" s="425"/>
      <c r="I3" s="425"/>
    </row>
    <row r="4" spans="1:9" ht="13.5" thickBot="1">
      <c r="A4" s="11"/>
      <c r="B4" s="11"/>
      <c r="C4" s="11"/>
      <c r="D4" s="220"/>
      <c r="E4" s="220"/>
      <c r="F4" s="220"/>
      <c r="G4" s="220"/>
      <c r="H4" s="220"/>
      <c r="I4" s="220"/>
    </row>
    <row r="5" spans="1:9" ht="15" customHeight="1" thickTop="1">
      <c r="A5" s="421" t="s">
        <v>49</v>
      </c>
      <c r="B5" s="421"/>
      <c r="C5" s="421"/>
      <c r="D5" s="421"/>
      <c r="E5" s="421"/>
      <c r="F5" s="421"/>
      <c r="G5" s="422"/>
      <c r="H5" s="422"/>
      <c r="I5" s="422"/>
    </row>
    <row r="6" spans="1:30" ht="12.75">
      <c r="A6" s="423" t="s">
        <v>130</v>
      </c>
      <c r="B6" s="423"/>
      <c r="C6" s="423"/>
      <c r="D6" s="424"/>
      <c r="E6" s="424"/>
      <c r="F6" s="424"/>
      <c r="G6" s="424"/>
      <c r="H6" s="424"/>
      <c r="I6" s="42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12.75" customHeight="1" thickBot="1">
      <c r="A7" s="414" t="s">
        <v>181</v>
      </c>
      <c r="B7" s="201"/>
      <c r="C7" s="399" t="s">
        <v>201</v>
      </c>
      <c r="D7" s="399" t="s">
        <v>179</v>
      </c>
      <c r="E7" s="399" t="s">
        <v>183</v>
      </c>
      <c r="F7" s="399" t="s">
        <v>202</v>
      </c>
      <c r="G7" s="413" t="s">
        <v>132</v>
      </c>
      <c r="H7" s="413"/>
      <c r="I7" s="4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415"/>
      <c r="B8" s="173" t="s">
        <v>32</v>
      </c>
      <c r="C8" s="408"/>
      <c r="D8" s="408"/>
      <c r="E8" s="408"/>
      <c r="F8" s="407"/>
      <c r="G8" s="418" t="s">
        <v>25</v>
      </c>
      <c r="H8" s="417" t="s">
        <v>180</v>
      </c>
      <c r="I8" s="4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9" ht="12.75" customHeight="1">
      <c r="A9" s="415"/>
      <c r="B9" s="173" t="s">
        <v>33</v>
      </c>
      <c r="C9" s="408"/>
      <c r="D9" s="408"/>
      <c r="E9" s="408"/>
      <c r="F9" s="408"/>
      <c r="G9" s="419"/>
      <c r="H9" s="280" t="s">
        <v>133</v>
      </c>
      <c r="I9" s="280" t="s">
        <v>70</v>
      </c>
    </row>
    <row r="10" spans="1:9" ht="13.5" thickBot="1">
      <c r="A10" s="416"/>
      <c r="B10" s="224" t="s">
        <v>34</v>
      </c>
      <c r="C10" s="401"/>
      <c r="D10" s="401"/>
      <c r="E10" s="401"/>
      <c r="F10" s="401"/>
      <c r="G10" s="420"/>
      <c r="H10" s="175" t="s">
        <v>134</v>
      </c>
      <c r="I10" s="175" t="s">
        <v>135</v>
      </c>
    </row>
    <row r="11" spans="1:9" s="47" customFormat="1" ht="12.75">
      <c r="A11" s="51" t="s">
        <v>0</v>
      </c>
      <c r="B11" s="281">
        <f aca="true" t="shared" si="0" ref="B11:I11">SUM(B13:B40)</f>
        <v>199455.37</v>
      </c>
      <c r="C11" s="281">
        <f t="shared" si="0"/>
        <v>1546031.6500000001</v>
      </c>
      <c r="D11" s="281">
        <f t="shared" si="0"/>
        <v>233343.95999999996</v>
      </c>
      <c r="E11" s="281">
        <f t="shared" si="0"/>
        <v>12751455.980000002</v>
      </c>
      <c r="F11" s="281">
        <f t="shared" si="0"/>
        <v>1215121.61</v>
      </c>
      <c r="G11" s="281">
        <f t="shared" si="0"/>
        <v>161652.15</v>
      </c>
      <c r="H11" s="281">
        <f t="shared" si="0"/>
        <v>123910.23</v>
      </c>
      <c r="I11" s="281">
        <f t="shared" si="0"/>
        <v>2288977.7199999997</v>
      </c>
    </row>
    <row r="12" spans="1:9" ht="12.75">
      <c r="A12" s="3"/>
      <c r="B12" s="282"/>
      <c r="C12" s="186"/>
      <c r="D12" s="186"/>
      <c r="E12" s="186"/>
      <c r="F12" s="186"/>
      <c r="G12" s="186"/>
      <c r="H12" s="186"/>
      <c r="I12" s="186"/>
    </row>
    <row r="13" spans="1:10" ht="12.75">
      <c r="A13" t="s">
        <v>1</v>
      </c>
      <c r="B13" s="189">
        <v>0</v>
      </c>
      <c r="C13" s="273">
        <v>28678.9</v>
      </c>
      <c r="D13" s="273">
        <v>763.31</v>
      </c>
      <c r="E13" s="273">
        <v>25744.14</v>
      </c>
      <c r="F13" s="186">
        <v>11664.4</v>
      </c>
      <c r="G13" s="188">
        <v>37396</v>
      </c>
      <c r="H13" s="188">
        <v>14662</v>
      </c>
      <c r="I13" s="188">
        <v>130863.72</v>
      </c>
      <c r="J13" s="42"/>
    </row>
    <row r="14" spans="1:9" ht="12.75">
      <c r="A14" t="s">
        <v>2</v>
      </c>
      <c r="B14" s="189">
        <v>0</v>
      </c>
      <c r="C14" s="273">
        <v>127928.15</v>
      </c>
      <c r="D14" s="273">
        <v>18302.45</v>
      </c>
      <c r="E14" s="87">
        <v>572837.9</v>
      </c>
      <c r="F14" s="186">
        <v>196938.23</v>
      </c>
      <c r="G14" s="186">
        <v>17279</v>
      </c>
      <c r="H14" s="186">
        <v>47879</v>
      </c>
      <c r="I14" s="186">
        <v>135463</v>
      </c>
    </row>
    <row r="15" spans="1:9" ht="12.75">
      <c r="A15" t="s">
        <v>3</v>
      </c>
      <c r="B15" s="189">
        <v>0</v>
      </c>
      <c r="C15" s="346">
        <v>135955.2</v>
      </c>
      <c r="D15" s="273">
        <v>15693</v>
      </c>
      <c r="E15" s="273">
        <v>3073408.09</v>
      </c>
      <c r="F15" s="186">
        <v>0</v>
      </c>
      <c r="G15" s="186"/>
      <c r="H15" s="186">
        <v>0</v>
      </c>
      <c r="I15" s="186">
        <v>0</v>
      </c>
    </row>
    <row r="16" spans="1:9" ht="12.75">
      <c r="A16" t="s">
        <v>4</v>
      </c>
      <c r="B16" s="189">
        <v>0</v>
      </c>
      <c r="C16" s="273">
        <v>159299.27</v>
      </c>
      <c r="D16" s="273">
        <v>36465.83</v>
      </c>
      <c r="E16" s="273">
        <v>815535.65</v>
      </c>
      <c r="F16" s="186">
        <v>3263.43</v>
      </c>
      <c r="G16" s="188">
        <v>36028</v>
      </c>
      <c r="H16" s="188">
        <v>0</v>
      </c>
      <c r="I16" s="186">
        <v>270984</v>
      </c>
    </row>
    <row r="17" spans="1:9" ht="12.75">
      <c r="A17" t="s">
        <v>5</v>
      </c>
      <c r="B17" s="273">
        <v>20983.78</v>
      </c>
      <c r="C17" s="273">
        <v>32827.11</v>
      </c>
      <c r="D17" s="188">
        <v>8720.07</v>
      </c>
      <c r="E17" s="186">
        <v>0</v>
      </c>
      <c r="F17" s="186">
        <v>0</v>
      </c>
      <c r="G17" s="188">
        <v>4510</v>
      </c>
      <c r="H17" s="188">
        <v>12249</v>
      </c>
      <c r="I17" s="186">
        <v>183626</v>
      </c>
    </row>
    <row r="18" spans="2:9" ht="12.75">
      <c r="B18" s="273"/>
      <c r="C18" s="273"/>
      <c r="D18" s="273"/>
      <c r="E18" s="273"/>
      <c r="F18" s="186"/>
      <c r="G18" s="186"/>
      <c r="H18" s="186"/>
      <c r="I18" s="186"/>
    </row>
    <row r="19" spans="1:9" ht="12.75">
      <c r="A19" t="s">
        <v>6</v>
      </c>
      <c r="B19" s="189">
        <v>0</v>
      </c>
      <c r="C19" s="273">
        <v>27508.9</v>
      </c>
      <c r="D19" s="273">
        <v>6594</v>
      </c>
      <c r="E19" s="273">
        <v>12774.23</v>
      </c>
      <c r="F19" s="186">
        <v>110325.51</v>
      </c>
      <c r="G19" s="186">
        <v>0</v>
      </c>
      <c r="H19" s="186">
        <v>0</v>
      </c>
      <c r="I19" s="186">
        <v>0</v>
      </c>
    </row>
    <row r="20" spans="1:9" ht="12.75">
      <c r="A20" t="s">
        <v>7</v>
      </c>
      <c r="B20" s="189">
        <v>0</v>
      </c>
      <c r="C20" s="273">
        <v>49974.11</v>
      </c>
      <c r="D20" s="87">
        <v>9507.46</v>
      </c>
      <c r="E20" s="186">
        <v>0</v>
      </c>
      <c r="F20" s="188">
        <v>0</v>
      </c>
      <c r="G20" s="188">
        <v>0</v>
      </c>
      <c r="H20" s="188">
        <v>0</v>
      </c>
      <c r="I20" s="188">
        <v>0</v>
      </c>
    </row>
    <row r="21" spans="1:9" ht="12.75">
      <c r="A21" t="s">
        <v>8</v>
      </c>
      <c r="B21" s="87">
        <v>23930.66</v>
      </c>
      <c r="C21" s="273">
        <v>50971.02</v>
      </c>
      <c r="D21" s="273">
        <v>5823.64</v>
      </c>
      <c r="E21" s="273">
        <v>45110.56</v>
      </c>
      <c r="F21" s="186">
        <v>0</v>
      </c>
      <c r="G21" s="186">
        <v>0</v>
      </c>
      <c r="H21" s="186">
        <v>0</v>
      </c>
      <c r="I21" s="186">
        <v>0</v>
      </c>
    </row>
    <row r="22" spans="1:9" ht="12.75">
      <c r="A22" t="s">
        <v>9</v>
      </c>
      <c r="B22" s="189">
        <v>0</v>
      </c>
      <c r="C22" s="273">
        <v>30092.79</v>
      </c>
      <c r="D22" s="273">
        <v>11726.4</v>
      </c>
      <c r="E22" s="186">
        <v>0</v>
      </c>
      <c r="F22" s="186">
        <v>49644.23</v>
      </c>
      <c r="G22" s="188">
        <v>24390</v>
      </c>
      <c r="H22" s="188">
        <v>28992</v>
      </c>
      <c r="I22" s="188">
        <v>285033</v>
      </c>
    </row>
    <row r="23" spans="1:9" ht="12.75">
      <c r="A23" t="s">
        <v>10</v>
      </c>
      <c r="B23" s="189">
        <v>0</v>
      </c>
      <c r="C23" s="273">
        <v>35511.83</v>
      </c>
      <c r="D23" s="186">
        <v>0</v>
      </c>
      <c r="E23" s="273">
        <v>156710.69</v>
      </c>
      <c r="F23" s="188">
        <v>78335.28</v>
      </c>
      <c r="G23" s="188">
        <v>3675</v>
      </c>
      <c r="H23" s="186">
        <v>2161</v>
      </c>
      <c r="I23" s="188">
        <v>141932</v>
      </c>
    </row>
    <row r="24" spans="2:9" ht="12.75">
      <c r="B24" s="273"/>
      <c r="C24" s="273"/>
      <c r="D24" s="273"/>
      <c r="E24" s="273"/>
      <c r="F24" s="186"/>
      <c r="G24" s="186"/>
      <c r="H24" s="186"/>
      <c r="I24" s="186"/>
    </row>
    <row r="25" spans="1:9" ht="12.75">
      <c r="A25" t="s">
        <v>11</v>
      </c>
      <c r="B25" s="273">
        <v>8688.76</v>
      </c>
      <c r="C25" s="273">
        <v>65282.35</v>
      </c>
      <c r="D25" s="273">
        <v>6702.64</v>
      </c>
      <c r="E25" s="273">
        <v>96549.66</v>
      </c>
      <c r="F25" s="186">
        <v>0</v>
      </c>
      <c r="G25" s="188">
        <v>23877</v>
      </c>
      <c r="H25" s="188">
        <v>10857</v>
      </c>
      <c r="I25" s="188">
        <v>315357</v>
      </c>
    </row>
    <row r="26" spans="1:9" ht="12.75">
      <c r="A26" t="s">
        <v>12</v>
      </c>
      <c r="B26" s="189">
        <v>0</v>
      </c>
      <c r="C26" s="273">
        <v>19971.81</v>
      </c>
      <c r="D26" s="273">
        <v>12497.9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</row>
    <row r="27" spans="1:9" ht="12.75">
      <c r="A27" t="s">
        <v>13</v>
      </c>
      <c r="B27" s="273">
        <v>13162</v>
      </c>
      <c r="C27" s="273">
        <v>108304.02</v>
      </c>
      <c r="D27" s="273">
        <v>8568.29</v>
      </c>
      <c r="E27" s="273">
        <v>259349.36</v>
      </c>
      <c r="F27" s="186">
        <v>0</v>
      </c>
      <c r="G27" s="186">
        <v>0</v>
      </c>
      <c r="H27" s="186">
        <v>0</v>
      </c>
      <c r="I27" s="186">
        <v>0</v>
      </c>
    </row>
    <row r="28" spans="1:9" ht="12.75">
      <c r="A28" t="s">
        <v>14</v>
      </c>
      <c r="B28" s="273">
        <v>7118.62</v>
      </c>
      <c r="C28" s="273">
        <v>93116.63</v>
      </c>
      <c r="D28" s="186">
        <v>0</v>
      </c>
      <c r="E28" s="186">
        <v>34633.4</v>
      </c>
      <c r="F28" s="186">
        <v>0</v>
      </c>
      <c r="G28" s="186">
        <v>0</v>
      </c>
      <c r="H28" s="186">
        <v>0</v>
      </c>
      <c r="I28" s="186">
        <v>0</v>
      </c>
    </row>
    <row r="29" spans="1:9" ht="12.75">
      <c r="A29" t="s">
        <v>15</v>
      </c>
      <c r="B29" s="189">
        <v>0</v>
      </c>
      <c r="C29" s="273">
        <v>17349.6</v>
      </c>
      <c r="D29" s="273">
        <v>12591.63</v>
      </c>
      <c r="E29" s="273">
        <v>66712.82</v>
      </c>
      <c r="F29" s="186">
        <v>0</v>
      </c>
      <c r="G29" s="188">
        <v>2208</v>
      </c>
      <c r="H29" s="186">
        <v>0</v>
      </c>
      <c r="I29" s="188">
        <v>76805</v>
      </c>
    </row>
    <row r="30" spans="2:9" ht="12.75">
      <c r="B30" s="273"/>
      <c r="C30" s="273"/>
      <c r="D30" s="273"/>
      <c r="E30" s="273"/>
      <c r="F30" s="186"/>
      <c r="G30" s="186"/>
      <c r="H30" s="186"/>
      <c r="I30" s="186"/>
    </row>
    <row r="31" spans="1:9" ht="12.75">
      <c r="A31" t="s">
        <v>16</v>
      </c>
      <c r="B31" s="189">
        <v>0</v>
      </c>
      <c r="C31" s="273">
        <v>179694.08</v>
      </c>
      <c r="D31" s="273">
        <v>26905.24</v>
      </c>
      <c r="E31" s="273">
        <v>844700.19</v>
      </c>
      <c r="F31" s="186">
        <v>293860.03</v>
      </c>
      <c r="G31" s="188">
        <v>0</v>
      </c>
      <c r="H31" s="186">
        <v>0</v>
      </c>
      <c r="I31" s="186">
        <v>0</v>
      </c>
    </row>
    <row r="32" spans="1:9" ht="12.75">
      <c r="A32" t="s">
        <v>17</v>
      </c>
      <c r="B32" s="189">
        <v>0</v>
      </c>
      <c r="C32" s="273">
        <v>156057.35</v>
      </c>
      <c r="D32" s="273">
        <v>11434.8</v>
      </c>
      <c r="E32" s="273">
        <v>6559617.87</v>
      </c>
      <c r="F32" s="186">
        <v>408502.99</v>
      </c>
      <c r="G32" s="188">
        <v>0</v>
      </c>
      <c r="H32" s="188">
        <v>0</v>
      </c>
      <c r="I32" s="188">
        <v>0</v>
      </c>
    </row>
    <row r="33" spans="1:9" ht="12.75">
      <c r="A33" t="s">
        <v>18</v>
      </c>
      <c r="B33" s="189">
        <v>0</v>
      </c>
      <c r="C33" s="273">
        <v>35388.32</v>
      </c>
      <c r="D33" s="273">
        <v>1189.51</v>
      </c>
      <c r="E33" s="186">
        <v>0</v>
      </c>
      <c r="F33" s="186">
        <v>0</v>
      </c>
      <c r="G33" s="188">
        <v>1283</v>
      </c>
      <c r="H33" s="188">
        <v>0</v>
      </c>
      <c r="I33" s="188">
        <v>86429</v>
      </c>
    </row>
    <row r="34" spans="1:9" ht="12.75">
      <c r="A34" t="s">
        <v>19</v>
      </c>
      <c r="B34" s="189">
        <v>0</v>
      </c>
      <c r="C34" s="273">
        <v>26368.51</v>
      </c>
      <c r="D34" s="273">
        <v>6594</v>
      </c>
      <c r="E34" s="273">
        <v>72819.12</v>
      </c>
      <c r="F34" s="186">
        <v>0</v>
      </c>
      <c r="G34" s="188">
        <v>3341</v>
      </c>
      <c r="H34" s="186">
        <v>0</v>
      </c>
      <c r="I34" s="188">
        <v>178120</v>
      </c>
    </row>
    <row r="35" spans="1:9" ht="12.75">
      <c r="A35" t="s">
        <v>20</v>
      </c>
      <c r="B35" s="189">
        <v>0</v>
      </c>
      <c r="C35" s="273">
        <v>17651</v>
      </c>
      <c r="D35" s="186">
        <v>0</v>
      </c>
      <c r="E35" s="273">
        <v>20498.22</v>
      </c>
      <c r="F35" s="186">
        <v>0</v>
      </c>
      <c r="G35" s="188">
        <v>1148.15</v>
      </c>
      <c r="H35" s="186">
        <v>2896.23</v>
      </c>
      <c r="I35" s="186">
        <v>128240</v>
      </c>
    </row>
    <row r="36" spans="2:9" ht="12.75">
      <c r="B36" s="273"/>
      <c r="C36" s="273"/>
      <c r="D36" s="273"/>
      <c r="E36" s="273"/>
      <c r="F36" s="186"/>
      <c r="G36" s="186"/>
      <c r="H36" s="186"/>
      <c r="I36" s="186"/>
    </row>
    <row r="37" spans="1:9" ht="12.75">
      <c r="A37" t="s">
        <v>21</v>
      </c>
      <c r="B37" s="189">
        <v>0</v>
      </c>
      <c r="C37" s="273">
        <v>29865.27</v>
      </c>
      <c r="D37" s="273">
        <v>9322.99</v>
      </c>
      <c r="E37" s="273">
        <v>2522.03</v>
      </c>
      <c r="F37" s="186">
        <v>0</v>
      </c>
      <c r="G37" s="186">
        <v>0</v>
      </c>
      <c r="H37" s="186">
        <v>0</v>
      </c>
      <c r="I37" s="186">
        <v>0</v>
      </c>
    </row>
    <row r="38" spans="1:9" ht="12.75">
      <c r="A38" t="s">
        <v>22</v>
      </c>
      <c r="B38" s="273">
        <v>35723.24</v>
      </c>
      <c r="C38" s="273">
        <v>37059.53</v>
      </c>
      <c r="D38" s="186">
        <v>0</v>
      </c>
      <c r="E38" s="186">
        <v>0</v>
      </c>
      <c r="F38" s="186">
        <v>62587.51</v>
      </c>
      <c r="G38" s="188">
        <v>0</v>
      </c>
      <c r="H38" s="188">
        <v>0</v>
      </c>
      <c r="I38" s="188">
        <v>0</v>
      </c>
    </row>
    <row r="39" spans="1:9" ht="12.75">
      <c r="A39" t="s">
        <v>23</v>
      </c>
      <c r="B39" s="273">
        <v>77621.31</v>
      </c>
      <c r="C39" s="273">
        <v>44202.98</v>
      </c>
      <c r="D39" s="273">
        <v>12152.8</v>
      </c>
      <c r="E39" s="273">
        <v>91932.05</v>
      </c>
      <c r="F39" s="188">
        <v>0</v>
      </c>
      <c r="G39" s="186">
        <v>4357</v>
      </c>
      <c r="H39" s="186">
        <v>4214</v>
      </c>
      <c r="I39" s="186">
        <v>268599</v>
      </c>
    </row>
    <row r="40" spans="1:9" ht="12.75">
      <c r="A40" s="12" t="s">
        <v>24</v>
      </c>
      <c r="B40" s="353">
        <v>12227</v>
      </c>
      <c r="C40" s="353">
        <v>36972.92</v>
      </c>
      <c r="D40" s="353">
        <v>11788</v>
      </c>
      <c r="E40" s="192">
        <v>0</v>
      </c>
      <c r="F40" s="192">
        <v>0</v>
      </c>
      <c r="G40" s="352">
        <v>2160</v>
      </c>
      <c r="H40" s="192">
        <v>0</v>
      </c>
      <c r="I40" s="192">
        <v>87526</v>
      </c>
    </row>
  </sheetData>
  <sheetProtection password="CAF5" sheet="1"/>
  <mergeCells count="12">
    <mergeCell ref="A5:I5"/>
    <mergeCell ref="A6:I6"/>
    <mergeCell ref="A1:I1"/>
    <mergeCell ref="A3:I3"/>
    <mergeCell ref="A7:A10"/>
    <mergeCell ref="D7:D10"/>
    <mergeCell ref="E7:E10"/>
    <mergeCell ref="G7:I7"/>
    <mergeCell ref="C7:C10"/>
    <mergeCell ref="H8:I8"/>
    <mergeCell ref="G8:G10"/>
    <mergeCell ref="F7:F10"/>
  </mergeCells>
  <printOptions horizontalCentered="1"/>
  <pageMargins left="0.44" right="0.37" top="0.83" bottom="1" header="0.67" footer="0.5"/>
  <pageSetup fitToHeight="1" fitToWidth="1" horizontalDpi="600" verticalDpi="600" orientation="landscape" scale="95" r:id="rId1"/>
  <headerFooter alignWithMargins="0">
    <oddFooter>&amp;L&amp;"Arial,Italic"&amp;9MSDE-DBS  10 / 2009&amp;C- 9 -&amp;R&amp;"Arial,Italic"&amp;9Selected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keywords/>
  <dc:description/>
  <cp:lastModifiedBy>jwalley</cp:lastModifiedBy>
  <cp:lastPrinted>2009-10-30T17:54:25Z</cp:lastPrinted>
  <dcterms:created xsi:type="dcterms:W3CDTF">1998-03-02T22:29:13Z</dcterms:created>
  <dcterms:modified xsi:type="dcterms:W3CDTF">2010-03-16T15:37:56Z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154800.000000000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