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47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</sheets>
  <definedNames>
    <definedName name="_xlnm.Print_Area" localSheetId="0">'1'!$A$1:$M$40</definedName>
    <definedName name="_xlnm.Print_Area" localSheetId="9">'10'!$A$1:$M$42</definedName>
    <definedName name="_xlnm.Print_Area" localSheetId="10">'11'!$A$1:$M$42</definedName>
    <definedName name="_xlnm.Print_Area" localSheetId="11">'12'!$A$1:$M$41</definedName>
    <definedName name="_xlnm.Print_Area" localSheetId="12">'13'!$A$1:$M$41</definedName>
    <definedName name="_xlnm.Print_Area" localSheetId="13">'14'!$A$1:$M$42</definedName>
    <definedName name="_xlnm.Print_Area" localSheetId="14">'15'!$A$1:$N$42</definedName>
    <definedName name="_xlnm.Print_Area" localSheetId="15">'16'!$A$1:$M$45</definedName>
    <definedName name="_xlnm.Print_Area" localSheetId="16">'17'!$A$1:$M$41</definedName>
    <definedName name="_xlnm.Print_Area" localSheetId="17">'18'!$A$1:$M$42</definedName>
    <definedName name="_xlnm.Print_Area" localSheetId="18">'19'!$A$1:$M$41</definedName>
    <definedName name="_xlnm.Print_Area" localSheetId="1">'2'!$A$1:$M$41</definedName>
    <definedName name="_xlnm.Print_Area" localSheetId="2">'3'!$A$1:$M$41</definedName>
    <definedName name="_xlnm.Print_Area" localSheetId="3">'4'!$A$1:$M$41</definedName>
    <definedName name="_xlnm.Print_Area" localSheetId="4">'5'!$A$1:$M$40</definedName>
    <definedName name="_xlnm.Print_Area" localSheetId="5">'6'!$A$1:$M$41</definedName>
    <definedName name="_xlnm.Print_Area" localSheetId="6">'7'!$A$1:$M$41</definedName>
    <definedName name="_xlnm.Print_Area" localSheetId="7">'8'!$A$1:$M$43</definedName>
    <definedName name="_xlnm.Print_Area" localSheetId="8">'9'!$A$1:$M$42</definedName>
  </definedNames>
  <calcPr fullCalcOnLoad="1"/>
</workbook>
</file>

<file path=xl/comments11.xml><?xml version="1.0" encoding="utf-8"?>
<comments xmlns="http://schemas.openxmlformats.org/spreadsheetml/2006/main">
  <authors>
    <author>rieng</author>
  </authors>
  <commentList>
    <comment ref="BD12" authorId="0">
      <text>
        <r>
          <rPr>
            <b/>
            <sz val="8"/>
            <rFont val="Tahoma"/>
            <family val="2"/>
          </rPr>
          <t>rieng:</t>
        </r>
        <r>
          <rPr>
            <sz val="8"/>
            <rFont val="Tahoma"/>
            <family val="2"/>
          </rPr>
          <t xml:space="preserve">
Included $1,487,492.83 for guidance salaries omitted in the earlier version</t>
        </r>
      </text>
    </comment>
  </commentList>
</comments>
</file>

<file path=xl/comments16.xml><?xml version="1.0" encoding="utf-8"?>
<comments xmlns="http://schemas.openxmlformats.org/spreadsheetml/2006/main">
  <authors>
    <author>rieng</author>
  </authors>
  <commentList>
    <comment ref="BJ12" authorId="0">
      <text>
        <r>
          <rPr>
            <b/>
            <sz val="8"/>
            <rFont val="Tahoma"/>
            <family val="2"/>
          </rPr>
          <t>rieng:</t>
        </r>
        <r>
          <rPr>
            <sz val="8"/>
            <rFont val="Tahoma"/>
            <family val="2"/>
          </rPr>
          <t xml:space="preserve">
revised 1-20-2010</t>
        </r>
      </text>
    </comment>
  </commentList>
</comments>
</file>

<file path=xl/comments7.xml><?xml version="1.0" encoding="utf-8"?>
<comments xmlns="http://schemas.openxmlformats.org/spreadsheetml/2006/main">
  <authors>
    <author>SOVAROUN</author>
  </authors>
  <commentList>
    <comment ref="AL10" authorId="0">
      <text>
        <r>
          <rPr>
            <b/>
            <sz val="9"/>
            <rFont val="Tahoma"/>
            <family val="2"/>
          </rPr>
          <t>SOVAROUN: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rieng</author>
  </authors>
  <commentList>
    <comment ref="BH12" authorId="0">
      <text>
        <r>
          <rPr>
            <b/>
            <sz val="8"/>
            <rFont val="Tahoma"/>
            <family val="2"/>
          </rPr>
          <t>rieng:</t>
        </r>
        <r>
          <rPr>
            <sz val="8"/>
            <rFont val="Tahoma"/>
            <family val="2"/>
          </rPr>
          <t xml:space="preserve">
Revised to include $1,487,492.83 of Guidance Salaries omitted in earlier version.
</t>
        </r>
      </text>
    </comment>
  </commentList>
</comments>
</file>

<file path=xl/sharedStrings.xml><?xml version="1.0" encoding="utf-8"?>
<sst xmlns="http://schemas.openxmlformats.org/spreadsheetml/2006/main" count="2207" uniqueCount="306">
  <si>
    <t>Expenditures for Elementary/Secondary Instructional Salaries* in Thousands of Dollars</t>
  </si>
  <si>
    <t>Local Unit</t>
  </si>
  <si>
    <t xml:space="preserve">   1984-85</t>
  </si>
  <si>
    <t xml:space="preserve">   1990-91</t>
  </si>
  <si>
    <t xml:space="preserve"> 1991-92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</si>
  <si>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</si>
  <si>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</si>
  <si>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</si>
  <si>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</si>
  <si>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</si>
  <si>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</si>
  <si>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</si>
  <si>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</si>
  <si>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</si>
  <si>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</si>
  <si>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</si>
  <si>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</si>
  <si>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</si>
  <si>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</si>
  <si>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</si>
  <si>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</si>
  <si>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</si>
  <si>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</si>
  <si>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</si>
  <si>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</si>
  <si>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</si>
  <si>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</si>
  <si>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</si>
  <si>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</si>
  <si>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</si>
  <si>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/>
  </si>
  <si>
    <t xml:space="preserve">    1986-87</t>
  </si>
  <si>
    <t xml:space="preserve">    1988-89</t>
  </si>
  <si>
    <t xml:space="preserve">   1992-93</t>
  </si>
  <si>
    <t>Percent Change</t>
  </si>
  <si>
    <t xml:space="preserve"> 1985-86</t>
  </si>
  <si>
    <t xml:space="preserve"> 1986-87</t>
  </si>
  <si>
    <t xml:space="preserve"> 1987-88</t>
  </si>
  <si>
    <t xml:space="preserve"> 1988-89</t>
  </si>
  <si>
    <t xml:space="preserve"> 1989-90</t>
  </si>
  <si>
    <t xml:space="preserve"> 1990-91</t>
  </si>
  <si>
    <t xml:space="preserve"> 1992-93</t>
  </si>
  <si>
    <t xml:space="preserve">  1984-85</t>
  </si>
  <si>
    <t xml:space="preserve">    1984-85</t>
  </si>
  <si>
    <t>Local Appropriations for Current Expenses in Thousands of Dollars</t>
  </si>
  <si>
    <t xml:space="preserve">   1989-90</t>
  </si>
  <si>
    <t xml:space="preserve">  1991-92</t>
  </si>
  <si>
    <t>1992-93</t>
  </si>
  <si>
    <t>Total Current Expenditures* in Thousands of Dollars</t>
  </si>
  <si>
    <t>Expenditures for Special Education* in Thousands of Dollars</t>
  </si>
  <si>
    <t xml:space="preserve">   1991-92</t>
  </si>
  <si>
    <t xml:space="preserve">     1984-85</t>
  </si>
  <si>
    <t>Expenditures for Elementary/Secondary Materials of Instruction* in Thousands of Dollars</t>
  </si>
  <si>
    <t xml:space="preserve">     1985-86</t>
  </si>
  <si>
    <t xml:space="preserve">    1992-93</t>
  </si>
  <si>
    <t xml:space="preserve">      1984-85</t>
  </si>
  <si>
    <t>Expenditures for Elementary/Secondary Textbooks*</t>
  </si>
  <si>
    <t xml:space="preserve">  1985-86</t>
  </si>
  <si>
    <t xml:space="preserve">  1986-87</t>
  </si>
  <si>
    <t xml:space="preserve">  1987-88</t>
  </si>
  <si>
    <t xml:space="preserve">  1988-89</t>
  </si>
  <si>
    <t xml:space="preserve">  1989-90</t>
  </si>
  <si>
    <t xml:space="preserve">  1990-91</t>
  </si>
  <si>
    <t>1991-92</t>
  </si>
  <si>
    <t xml:space="preserve">    1987-88</t>
  </si>
  <si>
    <t xml:space="preserve">     1991-92</t>
  </si>
  <si>
    <t xml:space="preserve">     1992-93</t>
  </si>
  <si>
    <t xml:space="preserve">    1990-91</t>
  </si>
  <si>
    <t xml:space="preserve">       1991-92</t>
  </si>
  <si>
    <t xml:space="preserve">       1992-93</t>
  </si>
  <si>
    <t xml:space="preserve">      1992-93</t>
  </si>
  <si>
    <t xml:space="preserve">      1991-92</t>
  </si>
  <si>
    <t xml:space="preserve">    1989-90</t>
  </si>
  <si>
    <t xml:space="preserve">      1986-87</t>
  </si>
  <si>
    <t xml:space="preserve">      1987-88</t>
  </si>
  <si>
    <t xml:space="preserve">      1988-89</t>
  </si>
  <si>
    <t xml:space="preserve">      1989-90</t>
  </si>
  <si>
    <t xml:space="preserve">      1990-91</t>
  </si>
  <si>
    <t xml:space="preserve">  1992-93</t>
  </si>
  <si>
    <t>Table 8</t>
  </si>
  <si>
    <t>Table 16</t>
  </si>
  <si>
    <t>Table 2</t>
  </si>
  <si>
    <t>Table 3</t>
  </si>
  <si>
    <t>Table 4</t>
  </si>
  <si>
    <t>Year</t>
  </si>
  <si>
    <t>One</t>
  </si>
  <si>
    <t>Ten</t>
  </si>
  <si>
    <t xml:space="preserve">Expenditures for Special Education Nonpublic Placements* </t>
  </si>
  <si>
    <t>Table 12</t>
  </si>
  <si>
    <t>Table 11</t>
  </si>
  <si>
    <t>Table 10</t>
  </si>
  <si>
    <t>Table 9</t>
  </si>
  <si>
    <t>Table 7</t>
  </si>
  <si>
    <t>Table 6</t>
  </si>
  <si>
    <t>Table 5</t>
  </si>
  <si>
    <t>Table 1</t>
  </si>
  <si>
    <t>Table 13</t>
  </si>
  <si>
    <t>Table 14</t>
  </si>
  <si>
    <t>Table 15</t>
  </si>
  <si>
    <t>Table 17</t>
  </si>
  <si>
    <t>Table 18</t>
  </si>
  <si>
    <t xml:space="preserve">NOTE:  Beginning July 1, 1997, Instructional expenditures were redefined to exclude expenditures for the Office of the Principal and to include expenditures for </t>
  </si>
  <si>
    <t xml:space="preserve">            instructional staff development.</t>
  </si>
  <si>
    <t>Note:  1997-98 amounts corrected from prior year presentation to exclude equipment costs.</t>
  </si>
  <si>
    <t>1999-2000</t>
  </si>
  <si>
    <t>2000-2001</t>
  </si>
  <si>
    <t>Retirement</t>
  </si>
  <si>
    <t>Less State</t>
  </si>
  <si>
    <t xml:space="preserve">Instruction </t>
  </si>
  <si>
    <t>Adult Ed</t>
  </si>
  <si>
    <t>Equipment</t>
  </si>
  <si>
    <t>Instuction</t>
  </si>
  <si>
    <t>Total</t>
  </si>
  <si>
    <t>Prek -12</t>
  </si>
  <si>
    <t xml:space="preserve">Special Ed </t>
  </si>
  <si>
    <t>Other Transfer</t>
  </si>
  <si>
    <t>Part 4</t>
  </si>
  <si>
    <t>Part 2</t>
  </si>
  <si>
    <t>**</t>
  </si>
  <si>
    <t xml:space="preserve">Part 1 </t>
  </si>
  <si>
    <t>Column 1</t>
  </si>
  <si>
    <t>Part 1</t>
  </si>
  <si>
    <t>Col. 3</t>
  </si>
  <si>
    <t>Instructional</t>
  </si>
  <si>
    <t>Salaries</t>
  </si>
  <si>
    <t>and Wages</t>
  </si>
  <si>
    <t>Textbooks and</t>
  </si>
  <si>
    <t>Supplies</t>
  </si>
  <si>
    <t>Other</t>
  </si>
  <si>
    <t>Costs</t>
  </si>
  <si>
    <t>Special</t>
  </si>
  <si>
    <t>Education</t>
  </si>
  <si>
    <t>Including State</t>
  </si>
  <si>
    <t>Share of Teachers'</t>
  </si>
  <si>
    <t>Cost</t>
  </si>
  <si>
    <t>Rank</t>
  </si>
  <si>
    <t>Library</t>
  </si>
  <si>
    <t>Media and</t>
  </si>
  <si>
    <t xml:space="preserve"> Books</t>
  </si>
  <si>
    <t>Books</t>
  </si>
  <si>
    <t>Textbooks</t>
  </si>
  <si>
    <t>Instruction</t>
  </si>
  <si>
    <t>Special Ed</t>
  </si>
  <si>
    <t xml:space="preserve">Textbooks </t>
  </si>
  <si>
    <t>and Supplies</t>
  </si>
  <si>
    <t>Supplies and</t>
  </si>
  <si>
    <t xml:space="preserve">  Materials</t>
  </si>
  <si>
    <t>Adult Ed.</t>
  </si>
  <si>
    <t>Materials</t>
  </si>
  <si>
    <t>Special Ed.</t>
  </si>
  <si>
    <t>Less Adult Ed.</t>
  </si>
  <si>
    <t>PlusSpecial Ed.</t>
  </si>
  <si>
    <t xml:space="preserve"> Salaries and Wages</t>
  </si>
  <si>
    <t>Adult Educ.</t>
  </si>
  <si>
    <t>Special Education</t>
  </si>
  <si>
    <t>From Part 2 Tables 4,4A,and 5</t>
  </si>
  <si>
    <t>Adjusted Total</t>
  </si>
  <si>
    <t>for Part 4 Table 11</t>
  </si>
  <si>
    <t>Part 2 Table 5</t>
  </si>
  <si>
    <t>Column N</t>
  </si>
  <si>
    <t>Other Transfers</t>
  </si>
  <si>
    <t>2001-2002</t>
  </si>
  <si>
    <t>Table 19</t>
  </si>
  <si>
    <t>Special Educ.</t>
  </si>
  <si>
    <t xml:space="preserve">Part 4 </t>
  </si>
  <si>
    <t>ADM</t>
  </si>
  <si>
    <t>FY 2002</t>
  </si>
  <si>
    <t>SFD Part 3</t>
  </si>
  <si>
    <t>2002-2003</t>
  </si>
  <si>
    <t>Total Pt2 Table 1 CE</t>
  </si>
  <si>
    <t>SFD Pt2 Tbl 4</t>
  </si>
  <si>
    <t>Col B</t>
  </si>
  <si>
    <t>Col R</t>
  </si>
  <si>
    <t>SFD Pt2 Tbl 4A</t>
  </si>
  <si>
    <t>Col D</t>
  </si>
  <si>
    <t>Col L</t>
  </si>
  <si>
    <t>Total Per Thousand</t>
  </si>
  <si>
    <t>FY 2003</t>
  </si>
  <si>
    <t xml:space="preserve">     1993-1994</t>
  </si>
  <si>
    <t xml:space="preserve">     1994-1995</t>
  </si>
  <si>
    <t xml:space="preserve">     1995-1996</t>
  </si>
  <si>
    <t xml:space="preserve">     1996-1997</t>
  </si>
  <si>
    <t xml:space="preserve">     1997-1998</t>
  </si>
  <si>
    <t>1998-1999</t>
  </si>
  <si>
    <t>2003-2004</t>
  </si>
  <si>
    <t>FY 2004 Part 3- Table 2 Col. 1</t>
  </si>
  <si>
    <t>In Thousands</t>
  </si>
  <si>
    <t>Expenditures for Current Expenses, Food Service, School Construction and Debt Service in Thousands of Dollars</t>
  </si>
  <si>
    <t>FY 2003- 2004</t>
  </si>
  <si>
    <t>Selected Financial Data FY 2004</t>
  </si>
  <si>
    <t>in Thousands</t>
  </si>
  <si>
    <t>FY2004</t>
  </si>
  <si>
    <t>SFD 2004 Part 3 : Table 3  Cost Per Pupil Belonging</t>
  </si>
  <si>
    <t>FY 2004</t>
  </si>
  <si>
    <t>2004-2005</t>
  </si>
  <si>
    <t>FY 2004- 2005</t>
  </si>
  <si>
    <t>Selected Financial Data FY 2005</t>
  </si>
  <si>
    <t>Part 2 Special Ed</t>
  </si>
  <si>
    <t>Nonpublic &amp; Other Transfer</t>
  </si>
  <si>
    <t>Nonpublic</t>
  </si>
  <si>
    <t>Schools</t>
  </si>
  <si>
    <t>SFD Part 2 FY 2004</t>
  </si>
  <si>
    <t>SFD Part 2 FY 2005</t>
  </si>
  <si>
    <t>SFD Part 2  FY 2004</t>
  </si>
  <si>
    <t>SFD Part 2  FY 2005</t>
  </si>
  <si>
    <t>FY 2005 Part 3- Table 2 Col. 1</t>
  </si>
  <si>
    <t>SFD 2005 Part 3 : Table 3  Cost Per Pupil Belonging</t>
  </si>
  <si>
    <t>FY 2005</t>
  </si>
  <si>
    <t>2005-2006</t>
  </si>
  <si>
    <t>in Thousand</t>
  </si>
  <si>
    <t>In thousand</t>
  </si>
  <si>
    <t xml:space="preserve">FY 2006 </t>
  </si>
  <si>
    <t>Net Amount</t>
  </si>
  <si>
    <t>In Net Thousands</t>
  </si>
  <si>
    <t>FY 2005- 2006</t>
  </si>
  <si>
    <t>Col O</t>
  </si>
  <si>
    <t>Selected Financial Data FY 2006</t>
  </si>
  <si>
    <t>SFD Part 2 FY 2006</t>
  </si>
  <si>
    <t>FY2005</t>
  </si>
  <si>
    <t>FY2006</t>
  </si>
  <si>
    <t>FY 2006 Part 3- Table 2 Col. 1</t>
  </si>
  <si>
    <t>SFD 2006 Part 3 : Table 3  Cost Per Pupil Belonging</t>
  </si>
  <si>
    <t>FY 2006</t>
  </si>
  <si>
    <t>Expenditures for Elementary/Secondary Library Books*</t>
  </si>
  <si>
    <t xml:space="preserve">Revenue from All Sources for Current Expenses in Thousands of Dollars </t>
  </si>
  <si>
    <t>Revenue from All Sources for Current Expenses, School Construction and Debt Service in Thousands of Dollars</t>
  </si>
  <si>
    <t>Revenue from the State for Current Expenses in Thousands of Dollars</t>
  </si>
  <si>
    <t>Revenue from the Federal Government for Current Expenses in Thousands of Dollars</t>
  </si>
  <si>
    <t>Source: Selected Financial Data Part 2, Table 1.</t>
  </si>
  <si>
    <t>Expenditures for Prekindergarten to Grade 12 Instruction* in Thousands of Dollars</t>
  </si>
  <si>
    <t>Col U</t>
  </si>
  <si>
    <t>* Outgoing transfers and equipment are not included.</t>
  </si>
  <si>
    <t>* Included Transfers to institutions and other out-of-state placements</t>
  </si>
  <si>
    <t>** Percent change cannot be calculated.</t>
  </si>
  <si>
    <t xml:space="preserve">   charges. Excludes adult education, food services, community services, equipment, school construction and debt.</t>
  </si>
  <si>
    <t>NOTE:  Beginning July 1, 1997, Instructional expenditures were redefined to exclude expenditures for the Office of the Principal and to include expenditures for instructional staff development.</t>
  </si>
  <si>
    <t>Assessed Valuation Taxable at Full Rate for Local Purposes in Millions of Dollars</t>
  </si>
  <si>
    <t>Source: Selected Financial Data -  Part 1, Table 11 Column 1.</t>
  </si>
  <si>
    <t>Assessed Property Valuation per Pupil in Prekindergarten to Grade 12*</t>
  </si>
  <si>
    <t>Source: Selected Financial Data -  Part 1, Table 11 Column 3.</t>
  </si>
  <si>
    <t>Full-Time Equivalent Average Daily Membership*</t>
  </si>
  <si>
    <t>Col C</t>
  </si>
  <si>
    <t>SFD Part 2  FY 2006</t>
  </si>
  <si>
    <t>2006-2007</t>
  </si>
  <si>
    <t xml:space="preserve">FY 2007 </t>
  </si>
  <si>
    <t>FY 2007</t>
  </si>
  <si>
    <t>Selected Financial Data FY 2007</t>
  </si>
  <si>
    <t xml:space="preserve">FY 2007 Part 2 Special ED  </t>
  </si>
  <si>
    <t>Col. P</t>
  </si>
  <si>
    <t>Col. Q</t>
  </si>
  <si>
    <t>SFD Part 2 FY 2007</t>
  </si>
  <si>
    <t>SFD Part 2  FY 2007</t>
  </si>
  <si>
    <t>FY 2007 Part 3- Table 2 Col. 1</t>
  </si>
  <si>
    <t>Revised 11-10-2008</t>
  </si>
  <si>
    <t>SFD 2007 Part 3 : Table 3  Cost Per Pupil Belonging</t>
  </si>
  <si>
    <t>Difference</t>
  </si>
  <si>
    <t>2007-2008</t>
  </si>
  <si>
    <t>Revised 10/9/2009</t>
  </si>
  <si>
    <t>FY 2006- 2007</t>
  </si>
  <si>
    <t>FY 2007- 2008</t>
  </si>
  <si>
    <t xml:space="preserve">FY 2008 Part 2 Special ED  </t>
  </si>
  <si>
    <t>Selected Financial Data FY 2008</t>
  </si>
  <si>
    <t>SFD Part 2 FY 2008</t>
  </si>
  <si>
    <t>FY2008</t>
  </si>
  <si>
    <t>SFD Part 2  FY 2008</t>
  </si>
  <si>
    <t>Ranking</t>
  </si>
  <si>
    <t>SFD 2008 Part 3 : Table 3  Cost Per Pupil Belonging</t>
  </si>
  <si>
    <t>FY 2008</t>
  </si>
  <si>
    <t>FY 2008 Part 3- Table 2 Col. 1</t>
  </si>
  <si>
    <t>2008-2009</t>
  </si>
  <si>
    <t xml:space="preserve">Revised 9-14-2010 to update School Construction Data in Baltimore County </t>
  </si>
  <si>
    <t>FY 2008- 2009</t>
  </si>
  <si>
    <t>Selected Financial Data FY 2009</t>
  </si>
  <si>
    <t>From Part 2 Tables 4,4A,and 5 FY 2008</t>
  </si>
  <si>
    <t>From Part 2 Tables 4,4A,and 5 FY 2009</t>
  </si>
  <si>
    <t>FY 2009</t>
  </si>
  <si>
    <t>SFD Part 2 FY 2009</t>
  </si>
  <si>
    <t>FY2009</t>
  </si>
  <si>
    <t>SFD Part 2  FY 2009</t>
  </si>
  <si>
    <t>FY 2009 Part 3- Table 2 Col. 1</t>
  </si>
  <si>
    <t>Cost per Pupil Belonging for Prekindergarten to Grade 12: Instruction*</t>
  </si>
  <si>
    <t>Cost per Pupil Belonging for Prekindergarten to Grade 12:  Current Expenses*</t>
  </si>
  <si>
    <t>SFD 2009 Part 3 : Table 3  Cost Per Pupil Belonging</t>
  </si>
  <si>
    <t>Maryland Public Schools:  2000-2001 to 2009-2010</t>
  </si>
  <si>
    <t>2009-2010</t>
  </si>
  <si>
    <t>FY 2010</t>
  </si>
  <si>
    <t>FY 2009- 2010</t>
  </si>
  <si>
    <t>Selected Financial Data FY 2010</t>
  </si>
  <si>
    <t>From Part 2 Tables 4,4A,and 5 FY 2010</t>
  </si>
  <si>
    <t>SFD Part 2 FY 2010</t>
  </si>
  <si>
    <t>FY2010</t>
  </si>
  <si>
    <t>SFD Part 2  FY 2010</t>
  </si>
  <si>
    <t>SFD 2010 Part 3 : Table 3  Cost Per Pupil Belonging</t>
  </si>
  <si>
    <t>FY 2010Part 3- Table 2 Col. 1</t>
  </si>
  <si>
    <t>* Excluded expenditures for adult education and equipment.</t>
  </si>
  <si>
    <t>*Included all local expenditures except tuition payments by one Maryland LEA to another, but excludes State-Paid Teachers' Retirement.</t>
  </si>
  <si>
    <t>* Included salaries for regular and special education teachers, aides, principals, guidance counselors, school psychologists, and others providing instructional services. Excludes Adult Education.</t>
  </si>
  <si>
    <t>* Included regular and special education for prekindergarten to grade 12. Excludes expenditures for Adult Education and instructional equipment.</t>
  </si>
  <si>
    <t>* Included regular and special education for prekindergarten to grade 12</t>
  </si>
  <si>
    <t>* Included regular and special education for prekindergarten to grade 12.</t>
  </si>
  <si>
    <t xml:space="preserve">* Included expenditures for administration, instruction, student personnel services, health services, transportation services, operation and maintenance of plant, and fixed </t>
  </si>
  <si>
    <t>* Included local special education costs.</t>
  </si>
  <si>
    <t>* Half-time Kindergarten and Prekindergarten pupils are expressed in full-time equivalents in arriving at per pupil costs.</t>
  </si>
  <si>
    <t xml:space="preserve">*Half-day Kindergarten and Prekindergarten pupils have been equated to full-time equivalent counts. </t>
  </si>
  <si>
    <t>NOTE:  Included State-Paid Teachers' Retirement.</t>
  </si>
  <si>
    <t>NOTE:  Excluded value of U.S.D.A. commodities.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</si>
</sst>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&quot;$&quot;#,##0"/>
    <numFmt numFmtId="173" formatCode="_(&quot;$&quot;* #,##0_);_(&quot;$&quot;* \(#,##0\);_(&quot;$&quot;* &quot;-&quot;??_);_(@_)"/>
    <numFmt numFmtId="174" formatCode="_(* #,##0_);_(* \(#,##0\);_(* &quot;-&quot;??_);_(@_)"/>
    <numFmt numFmtId="175" formatCode="&quot;$&quot;#,##0.0\ ;\(&quot;$&quot;#,##0.0\)"/>
    <numFmt numFmtId="176" formatCode="&quot;$&quot;#,##0.00"/>
    <numFmt numFmtId="177" formatCode="0.000%"/>
    <numFmt numFmtId="178" formatCode="#,##0.000"/>
    <numFmt numFmtId="179" formatCode="#,##0.0000"/>
    <numFmt numFmtId="180" formatCode="0.0000%"/>
    <numFmt numFmtId="181" formatCode="0.00000%"/>
    <numFmt numFmtId="182" formatCode="0.000000%"/>
    <numFmt numFmtId="183" formatCode="_(* #,##0.0_);_(* \(#,##0.0\);_(* &quot;-&quot;????_);_(@_)"/>
    <numFmt numFmtId="184" formatCode="_(* #,##0.0_);_(* \(#,##0.0\);_(* &quot;-&quot;??_);_(@_)"/>
    <numFmt numFmtId="185" formatCode="_(* #,##0.000_);_(* \(#,##0.000\);_(* &quot;-&quot;??_);_(@_)"/>
    <numFmt numFmtId="186" formatCode="0.000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  <numFmt numFmtId="190" formatCode="_(&quot;$&quot;* #,##0.0_);_(&quot;$&quot;* \(#,##0.0\);_(&quot;$&quot;* &quot;-&quot;??_);_(@_)"/>
    <numFmt numFmtId="191" formatCode="0.0000"/>
    <numFmt numFmtId="192" formatCode="_(* #,##0.0_);_(* \(#,##0.0\);_(* &quot;-&quot;?_);_(@_)"/>
    <numFmt numFmtId="193" formatCode="&quot;$&quot;#,##0.000\ ;\(&quot;$&quot;#,##0.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"/>
    <numFmt numFmtId="199" formatCode="0.000000"/>
    <numFmt numFmtId="200" formatCode="0.0000000"/>
  </numFmts>
  <fonts count="54"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56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theme="3"/>
      <name val="MS Sans Serif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4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0" fontId="47" fillId="27" borderId="6" applyNumberFormat="0" applyAlignment="0" applyProtection="0"/>
    <xf numFmtId="1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9" fillId="0" borderId="0" applyNumberFormat="0" applyFill="0" applyBorder="0" applyAlignment="0" applyProtection="0"/>
  </cellStyleXfs>
  <cellXfs count="339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5" fillId="0" borderId="0" xfId="0" applyFont="1" applyAlignment="1">
      <alignment/>
    </xf>
    <xf numFmtId="3" fontId="4" fillId="0" borderId="0" xfId="0" applyFont="1" applyAlignment="1">
      <alignment shrinkToFit="1"/>
    </xf>
    <xf numFmtId="3" fontId="4" fillId="0" borderId="7" xfId="0" applyFont="1" applyBorder="1" applyAlignment="1">
      <alignment/>
    </xf>
    <xf numFmtId="3" fontId="4" fillId="0" borderId="8" xfId="0" applyFont="1" applyBorder="1" applyAlignment="1">
      <alignment horizontal="centerContinuous"/>
    </xf>
    <xf numFmtId="3" fontId="4" fillId="0" borderId="0" xfId="0" applyFont="1" applyBorder="1" applyAlignment="1">
      <alignment/>
    </xf>
    <xf numFmtId="3" fontId="4" fillId="0" borderId="9" xfId="0" applyFont="1" applyBorder="1" applyAlignment="1">
      <alignment/>
    </xf>
    <xf numFmtId="3" fontId="4" fillId="0" borderId="9" xfId="0" applyFont="1" applyBorder="1" applyAlignment="1">
      <alignment horizontal="center"/>
    </xf>
    <xf numFmtId="3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3" fontId="4" fillId="0" borderId="8" xfId="0" applyFont="1" applyBorder="1" applyAlignment="1">
      <alignment/>
    </xf>
    <xf numFmtId="3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12" xfId="0" applyFont="1" applyBorder="1" applyAlignment="1">
      <alignment/>
    </xf>
    <xf numFmtId="172" fontId="4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169" fontId="4" fillId="0" borderId="11" xfId="0" applyNumberFormat="1" applyFont="1" applyBorder="1" applyAlignment="1">
      <alignment/>
    </xf>
    <xf numFmtId="3" fontId="4" fillId="0" borderId="0" xfId="0" applyFont="1" applyBorder="1" applyAlignment="1">
      <alignment horizontal="center"/>
    </xf>
    <xf numFmtId="3" fontId="4" fillId="0" borderId="0" xfId="45" applyFont="1" applyAlignment="1">
      <alignment/>
    </xf>
    <xf numFmtId="3" fontId="5" fillId="0" borderId="0" xfId="0" applyFont="1" applyAlignment="1">
      <alignment horizontal="centerContinuous"/>
    </xf>
    <xf numFmtId="3" fontId="4" fillId="0" borderId="0" xfId="0" applyFont="1" applyAlignment="1">
      <alignment horizontal="center"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4" fillId="0" borderId="7" xfId="0" applyFont="1" applyBorder="1" applyAlignment="1">
      <alignment/>
    </xf>
    <xf numFmtId="3" fontId="4" fillId="0" borderId="0" xfId="0" applyFont="1" applyBorder="1" applyAlignment="1">
      <alignment/>
    </xf>
    <xf numFmtId="3" fontId="4" fillId="0" borderId="9" xfId="0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Font="1" applyBorder="1" applyAlignment="1">
      <alignment/>
    </xf>
    <xf numFmtId="3" fontId="4" fillId="0" borderId="8" xfId="0" applyFont="1" applyBorder="1" applyAlignment="1">
      <alignment horizontal="centerContinuous"/>
    </xf>
    <xf numFmtId="3" fontId="4" fillId="0" borderId="0" xfId="0" applyFont="1" applyBorder="1" applyAlignment="1">
      <alignment horizontal="center"/>
    </xf>
    <xf numFmtId="3" fontId="4" fillId="0" borderId="9" xfId="0" applyFont="1" applyBorder="1" applyAlignment="1">
      <alignment horizontal="center"/>
    </xf>
    <xf numFmtId="174" fontId="4" fillId="0" borderId="0" xfId="42" applyNumberFormat="1" applyFont="1" applyBorder="1" applyAlignment="1">
      <alignment/>
    </xf>
    <xf numFmtId="3" fontId="4" fillId="0" borderId="8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9" xfId="0" applyFont="1" applyBorder="1" applyAlignment="1">
      <alignment/>
    </xf>
    <xf numFmtId="166" fontId="4" fillId="0" borderId="0" xfId="46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10" xfId="46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46" applyNumberFormat="1" applyFont="1" applyAlignment="1">
      <alignment/>
    </xf>
    <xf numFmtId="166" fontId="4" fillId="0" borderId="0" xfId="46" applyFont="1" applyBorder="1" applyAlignment="1">
      <alignment/>
    </xf>
    <xf numFmtId="166" fontId="4" fillId="0" borderId="0" xfId="46" applyFont="1" applyBorder="1" applyAlignment="1">
      <alignment horizontal="center"/>
    </xf>
    <xf numFmtId="166" fontId="4" fillId="0" borderId="0" xfId="0" applyNumberFormat="1" applyFont="1" applyBorder="1" applyAlignment="1">
      <alignment/>
    </xf>
    <xf numFmtId="166" fontId="4" fillId="0" borderId="0" xfId="46" applyFont="1" applyAlignment="1">
      <alignment/>
    </xf>
    <xf numFmtId="166" fontId="4" fillId="0" borderId="10" xfId="46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46" applyNumberFormat="1" applyFont="1" applyAlignment="1">
      <alignment/>
    </xf>
    <xf numFmtId="4" fontId="4" fillId="0" borderId="0" xfId="42" applyFont="1" applyAlignment="1">
      <alignment/>
    </xf>
    <xf numFmtId="4" fontId="4" fillId="0" borderId="8" xfId="42" applyFont="1" applyBorder="1" applyAlignment="1">
      <alignment/>
    </xf>
    <xf numFmtId="3" fontId="4" fillId="0" borderId="0" xfId="42" applyNumberFormat="1" applyFont="1" applyAlignment="1">
      <alignment/>
    </xf>
    <xf numFmtId="3" fontId="4" fillId="0" borderId="7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3" fontId="4" fillId="0" borderId="0" xfId="42" applyNumberFormat="1" applyFont="1" applyBorder="1" applyAlignment="1">
      <alignment/>
    </xf>
    <xf numFmtId="3" fontId="4" fillId="0" borderId="0" xfId="42" applyNumberFormat="1" applyFont="1" applyBorder="1" applyAlignment="1">
      <alignment/>
    </xf>
    <xf numFmtId="3" fontId="4" fillId="0" borderId="11" xfId="42" applyNumberFormat="1" applyFont="1" applyBorder="1" applyAlignment="1">
      <alignment/>
    </xf>
    <xf numFmtId="164" fontId="4" fillId="0" borderId="0" xfId="46" applyNumberFormat="1" applyFont="1" applyBorder="1" applyAlignment="1">
      <alignment/>
    </xf>
    <xf numFmtId="3" fontId="4" fillId="0" borderId="13" xfId="0" applyFont="1" applyBorder="1" applyAlignment="1">
      <alignment horizontal="center"/>
    </xf>
    <xf numFmtId="164" fontId="4" fillId="0" borderId="11" xfId="0" applyNumberFormat="1" applyFont="1" applyBorder="1" applyAlignment="1">
      <alignment/>
    </xf>
    <xf numFmtId="3" fontId="4" fillId="0" borderId="0" xfId="0" applyFont="1" applyAlignment="1">
      <alignment horizontal="left"/>
    </xf>
    <xf numFmtId="174" fontId="4" fillId="0" borderId="0" xfId="42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174" fontId="0" fillId="0" borderId="0" xfId="42" applyNumberFormat="1" applyFont="1" applyBorder="1" applyAlignment="1">
      <alignment horizontal="left"/>
    </xf>
    <xf numFmtId="174" fontId="0" fillId="0" borderId="8" xfId="42" applyNumberFormat="1" applyFont="1" applyBorder="1" applyAlignment="1">
      <alignment horizontal="left"/>
    </xf>
    <xf numFmtId="172" fontId="0" fillId="0" borderId="0" xfId="46" applyNumberFormat="1" applyFont="1" applyAlignment="1">
      <alignment horizontal="right"/>
    </xf>
    <xf numFmtId="3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4" fontId="4" fillId="0" borderId="0" xfId="42" applyFont="1" applyBorder="1" applyAlignment="1">
      <alignment/>
    </xf>
    <xf numFmtId="176" fontId="4" fillId="0" borderId="0" xfId="42" applyNumberFormat="1" applyFont="1" applyBorder="1" applyAlignment="1">
      <alignment/>
    </xf>
    <xf numFmtId="174" fontId="4" fillId="0" borderId="0" xfId="42" applyNumberFormat="1" applyFont="1" applyAlignment="1">
      <alignment/>
    </xf>
    <xf numFmtId="172" fontId="4" fillId="0" borderId="0" xfId="0" applyNumberFormat="1" applyFont="1" applyAlignment="1">
      <alignment/>
    </xf>
    <xf numFmtId="3" fontId="0" fillId="0" borderId="0" xfId="0" applyAlignment="1">
      <alignment/>
    </xf>
    <xf numFmtId="3" fontId="0" fillId="0" borderId="0" xfId="0" applyAlignment="1">
      <alignment horizontal="center"/>
    </xf>
    <xf numFmtId="176" fontId="4" fillId="0" borderId="0" xfId="0" applyNumberFormat="1" applyFont="1" applyAlignment="1">
      <alignment/>
    </xf>
    <xf numFmtId="4" fontId="4" fillId="0" borderId="8" xfId="0" applyNumberFormat="1" applyFont="1" applyBorder="1" applyAlignment="1">
      <alignment/>
    </xf>
    <xf numFmtId="10" fontId="4" fillId="0" borderId="0" xfId="66" applyFont="1" applyAlignment="1">
      <alignment/>
    </xf>
    <xf numFmtId="43" fontId="4" fillId="0" borderId="0" xfId="0" applyNumberFormat="1" applyFont="1" applyAlignment="1">
      <alignment/>
    </xf>
    <xf numFmtId="43" fontId="4" fillId="0" borderId="8" xfId="0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4" fillId="0" borderId="8" xfId="42" applyNumberFormat="1" applyFont="1" applyBorder="1" applyAlignment="1">
      <alignment/>
    </xf>
    <xf numFmtId="3" fontId="4" fillId="0" borderId="0" xfId="0" applyFont="1" applyAlignment="1">
      <alignment/>
    </xf>
    <xf numFmtId="166" fontId="0" fillId="0" borderId="0" xfId="46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3" fontId="0" fillId="0" borderId="7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8" xfId="0" applyBorder="1" applyAlignment="1">
      <alignment horizontal="center"/>
    </xf>
    <xf numFmtId="2" fontId="5" fillId="0" borderId="0" xfId="0" applyNumberFormat="1" applyFont="1" applyAlignment="1">
      <alignment/>
    </xf>
    <xf numFmtId="3" fontId="4" fillId="0" borderId="0" xfId="0" applyFont="1" applyBorder="1" applyAlignment="1">
      <alignment horizontal="right"/>
    </xf>
    <xf numFmtId="3" fontId="6" fillId="0" borderId="0" xfId="0" applyFont="1" applyAlignment="1">
      <alignment horizontal="center"/>
    </xf>
    <xf numFmtId="172" fontId="4" fillId="0" borderId="0" xfId="46" applyNumberFormat="1" applyFont="1" applyFill="1" applyBorder="1" applyAlignment="1">
      <alignment/>
    </xf>
    <xf numFmtId="3" fontId="4" fillId="0" borderId="0" xfId="0" applyFont="1" applyFill="1" applyBorder="1" applyAlignment="1">
      <alignment/>
    </xf>
    <xf numFmtId="173" fontId="4" fillId="0" borderId="0" xfId="46" applyNumberFormat="1" applyFont="1" applyAlignment="1">
      <alignment/>
    </xf>
    <xf numFmtId="174" fontId="4" fillId="0" borderId="8" xfId="42" applyNumberFormat="1" applyFont="1" applyFill="1" applyBorder="1" applyAlignment="1">
      <alignment/>
    </xf>
    <xf numFmtId="3" fontId="4" fillId="0" borderId="9" xfId="0" applyFont="1" applyBorder="1" applyAlignment="1">
      <alignment horizontal="left" indent="2"/>
    </xf>
    <xf numFmtId="3" fontId="7" fillId="0" borderId="0" xfId="0" applyFont="1" applyAlignment="1">
      <alignment/>
    </xf>
    <xf numFmtId="3" fontId="7" fillId="0" borderId="0" xfId="0" applyFont="1" applyAlignment="1">
      <alignment horizontal="center"/>
    </xf>
    <xf numFmtId="3" fontId="4" fillId="0" borderId="0" xfId="0" applyFont="1" applyAlignment="1">
      <alignment horizontal="center" vertical="center"/>
    </xf>
    <xf numFmtId="3" fontId="4" fillId="0" borderId="0" xfId="42" applyNumberFormat="1" applyFont="1" applyAlignment="1">
      <alignment horizontal="center"/>
    </xf>
    <xf numFmtId="3" fontId="5" fillId="0" borderId="0" xfId="0" applyFont="1" applyBorder="1" applyAlignment="1">
      <alignment/>
    </xf>
    <xf numFmtId="3" fontId="5" fillId="0" borderId="8" xfId="0" applyFont="1" applyBorder="1" applyAlignment="1">
      <alignment horizontal="center"/>
    </xf>
    <xf numFmtId="3" fontId="4" fillId="0" borderId="0" xfId="0" applyFont="1" applyAlignment="1">
      <alignment horizontal="centerContinuous" vertical="center"/>
    </xf>
    <xf numFmtId="3" fontId="4" fillId="0" borderId="0" xfId="0" applyFont="1" applyAlignment="1">
      <alignment horizontal="centerContinuous" vertical="center"/>
    </xf>
    <xf numFmtId="3" fontId="4" fillId="0" borderId="0" xfId="42" applyNumberFormat="1" applyFont="1" applyAlignment="1">
      <alignment horizontal="centerContinuous" vertical="center"/>
    </xf>
    <xf numFmtId="3" fontId="4" fillId="0" borderId="0" xfId="42" applyNumberFormat="1" applyFont="1" applyAlignment="1">
      <alignment horizontal="centerContinuous" vertical="center"/>
    </xf>
    <xf numFmtId="3" fontId="0" fillId="0" borderId="0" xfId="0" applyAlignment="1">
      <alignment horizontal="centerContinuous" vertical="center"/>
    </xf>
    <xf numFmtId="174" fontId="4" fillId="0" borderId="0" xfId="42" applyNumberFormat="1" applyFont="1" applyAlignment="1">
      <alignment/>
    </xf>
    <xf numFmtId="3" fontId="4" fillId="0" borderId="0" xfId="0" applyFont="1" applyFill="1" applyBorder="1" applyAlignment="1">
      <alignment horizontal="center"/>
    </xf>
    <xf numFmtId="174" fontId="4" fillId="0" borderId="8" xfId="42" applyNumberFormat="1" applyFont="1" applyBorder="1" applyAlignment="1">
      <alignment/>
    </xf>
    <xf numFmtId="10" fontId="4" fillId="0" borderId="0" xfId="66" applyNumberFormat="1" applyFont="1" applyBorder="1" applyAlignment="1">
      <alignment/>
    </xf>
    <xf numFmtId="171" fontId="4" fillId="0" borderId="0" xfId="66" applyNumberFormat="1" applyFont="1" applyBorder="1" applyAlignment="1">
      <alignment/>
    </xf>
    <xf numFmtId="3" fontId="5" fillId="0" borderId="9" xfId="0" applyFont="1" applyBorder="1" applyAlignment="1">
      <alignment horizontal="center"/>
    </xf>
    <xf numFmtId="3" fontId="5" fillId="0" borderId="0" xfId="0" applyFont="1" applyAlignment="1">
      <alignment/>
    </xf>
    <xf numFmtId="3" fontId="4" fillId="0" borderId="0" xfId="0" applyFont="1" applyAlignment="1">
      <alignment vertical="center"/>
    </xf>
    <xf numFmtId="174" fontId="4" fillId="0" borderId="0" xfId="42" applyNumberFormat="1" applyFont="1" applyFill="1" applyBorder="1" applyAlignment="1">
      <alignment/>
    </xf>
    <xf numFmtId="174" fontId="4" fillId="0" borderId="8" xfId="42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42" fontId="4" fillId="0" borderId="0" xfId="46" applyNumberFormat="1" applyFont="1" applyFill="1" applyBorder="1" applyAlignment="1">
      <alignment horizontal="center"/>
    </xf>
    <xf numFmtId="0" fontId="4" fillId="0" borderId="0" xfId="63" applyFont="1" applyAlignment="1">
      <alignment horizontal="centerContinuous" vertical="center"/>
      <protection/>
    </xf>
    <xf numFmtId="0" fontId="4" fillId="0" borderId="0" xfId="63" applyFont="1">
      <alignment/>
      <protection/>
    </xf>
    <xf numFmtId="0" fontId="4" fillId="0" borderId="0" xfId="63">
      <alignment/>
      <protection/>
    </xf>
    <xf numFmtId="0" fontId="4" fillId="0" borderId="7" xfId="63" applyFont="1" applyBorder="1">
      <alignment/>
      <protection/>
    </xf>
    <xf numFmtId="0" fontId="4" fillId="0" borderId="0" xfId="63" applyFont="1" applyBorder="1">
      <alignment/>
      <protection/>
    </xf>
    <xf numFmtId="0" fontId="4" fillId="0" borderId="0" xfId="63" applyFont="1">
      <alignment/>
      <protection/>
    </xf>
    <xf numFmtId="0" fontId="4" fillId="0" borderId="0" xfId="63" applyFont="1" applyBorder="1">
      <alignment/>
      <protection/>
    </xf>
    <xf numFmtId="0" fontId="4" fillId="0" borderId="9" xfId="63" applyFont="1" applyBorder="1">
      <alignment/>
      <protection/>
    </xf>
    <xf numFmtId="0" fontId="4" fillId="0" borderId="9" xfId="63" applyFont="1" applyBorder="1" applyAlignment="1">
      <alignment horizontal="center"/>
      <protection/>
    </xf>
    <xf numFmtId="170" fontId="4" fillId="0" borderId="0" xfId="44" applyNumberFormat="1" applyFont="1" applyAlignment="1">
      <alignment/>
    </xf>
    <xf numFmtId="3" fontId="4" fillId="0" borderId="0" xfId="63" applyNumberFormat="1" applyFont="1">
      <alignment/>
      <protection/>
    </xf>
    <xf numFmtId="184" fontId="4" fillId="0" borderId="0" xfId="48" applyNumberFormat="1" applyFont="1" applyAlignment="1">
      <alignment/>
    </xf>
    <xf numFmtId="184" fontId="4" fillId="0" borderId="0" xfId="44" applyNumberFormat="1" applyFont="1" applyAlignment="1">
      <alignment/>
    </xf>
    <xf numFmtId="170" fontId="4" fillId="0" borderId="0" xfId="48" applyNumberFormat="1" applyFont="1" applyAlignment="1">
      <alignment/>
    </xf>
    <xf numFmtId="170" fontId="4" fillId="0" borderId="0" xfId="63" applyNumberFormat="1" applyFont="1">
      <alignment/>
      <protection/>
    </xf>
    <xf numFmtId="4" fontId="4" fillId="0" borderId="0" xfId="48" applyNumberFormat="1" applyFont="1" applyAlignment="1">
      <alignment/>
    </xf>
    <xf numFmtId="184" fontId="4" fillId="0" borderId="0" xfId="63" applyNumberFormat="1" applyFont="1">
      <alignment/>
      <protection/>
    </xf>
    <xf numFmtId="0" fontId="4" fillId="0" borderId="8" xfId="63" applyFont="1" applyBorder="1">
      <alignment/>
      <protection/>
    </xf>
    <xf numFmtId="184" fontId="4" fillId="0" borderId="8" xfId="48" applyNumberFormat="1" applyFont="1" applyBorder="1" applyAlignment="1">
      <alignment/>
    </xf>
    <xf numFmtId="184" fontId="4" fillId="0" borderId="8" xfId="44" applyNumberFormat="1" applyFont="1" applyBorder="1" applyAlignment="1">
      <alignment/>
    </xf>
    <xf numFmtId="4" fontId="4" fillId="0" borderId="8" xfId="48" applyNumberFormat="1" applyFont="1" applyBorder="1" applyAlignment="1">
      <alignment/>
    </xf>
    <xf numFmtId="170" fontId="4" fillId="0" borderId="8" xfId="63" applyNumberFormat="1" applyFont="1" applyBorder="1">
      <alignment/>
      <protection/>
    </xf>
    <xf numFmtId="170" fontId="4" fillId="0" borderId="8" xfId="44" applyNumberFormat="1" applyFont="1" applyBorder="1" applyAlignment="1">
      <alignment/>
    </xf>
    <xf numFmtId="173" fontId="4" fillId="0" borderId="0" xfId="46" applyNumberFormat="1" applyFont="1" applyFill="1" applyAlignment="1">
      <alignment horizontal="right"/>
    </xf>
    <xf numFmtId="174" fontId="4" fillId="0" borderId="0" xfId="42" applyNumberFormat="1" applyFont="1" applyFill="1" applyAlignment="1">
      <alignment/>
    </xf>
    <xf numFmtId="174" fontId="4" fillId="0" borderId="0" xfId="42" applyNumberFormat="1" applyFont="1" applyBorder="1" applyAlignment="1">
      <alignment horizontal="center" vertical="center"/>
    </xf>
    <xf numFmtId="174" fontId="4" fillId="0" borderId="0" xfId="42" applyNumberFormat="1" applyFont="1" applyFill="1" applyAlignment="1" applyProtection="1">
      <alignment/>
      <protection locked="0"/>
    </xf>
    <xf numFmtId="174" fontId="10" fillId="0" borderId="0" xfId="42" applyNumberFormat="1" applyFont="1" applyFill="1" applyBorder="1" applyAlignment="1">
      <alignment/>
    </xf>
    <xf numFmtId="174" fontId="4" fillId="0" borderId="0" xfId="42" applyNumberFormat="1" applyFont="1" applyFill="1" applyAlignment="1" applyProtection="1">
      <alignment/>
      <protection locked="0"/>
    </xf>
    <xf numFmtId="174" fontId="4" fillId="0" borderId="8" xfId="42" applyNumberFormat="1" applyFont="1" applyFill="1" applyBorder="1" applyAlignment="1" applyProtection="1">
      <alignment/>
      <protection locked="0"/>
    </xf>
    <xf numFmtId="166" fontId="5" fillId="0" borderId="0" xfId="46" applyFont="1" applyAlignment="1">
      <alignment/>
    </xf>
    <xf numFmtId="4" fontId="5" fillId="0" borderId="0" xfId="42" applyFont="1" applyAlignment="1">
      <alignment/>
    </xf>
    <xf numFmtId="174" fontId="4" fillId="0" borderId="0" xfId="42" applyNumberFormat="1" applyFont="1" applyFill="1" applyAlignment="1">
      <alignment/>
    </xf>
    <xf numFmtId="184" fontId="0" fillId="0" borderId="0" xfId="42" applyNumberFormat="1" applyFont="1" applyAlignment="1">
      <alignment horizontal="right"/>
    </xf>
    <xf numFmtId="184" fontId="0" fillId="0" borderId="0" xfId="42" applyNumberFormat="1" applyFont="1" applyAlignment="1">
      <alignment/>
    </xf>
    <xf numFmtId="184" fontId="4" fillId="0" borderId="0" xfId="42" applyNumberFormat="1" applyFont="1" applyBorder="1" applyAlignment="1">
      <alignment/>
    </xf>
    <xf numFmtId="184" fontId="4" fillId="0" borderId="0" xfId="42" applyNumberFormat="1" applyFont="1" applyAlignment="1" applyProtection="1">
      <alignment/>
      <protection locked="0"/>
    </xf>
    <xf numFmtId="184" fontId="4" fillId="0" borderId="8" xfId="42" applyNumberFormat="1" applyFont="1" applyBorder="1" applyAlignment="1">
      <alignment/>
    </xf>
    <xf numFmtId="0" fontId="4" fillId="0" borderId="0" xfId="63" applyFont="1" applyAlignment="1">
      <alignment horizontal="center"/>
      <protection/>
    </xf>
    <xf numFmtId="3" fontId="8" fillId="0" borderId="0" xfId="0" applyFont="1" applyBorder="1" applyAlignment="1">
      <alignment/>
    </xf>
    <xf numFmtId="3" fontId="4" fillId="0" borderId="7" xfId="0" applyFont="1" applyBorder="1" applyAlignment="1">
      <alignment/>
    </xf>
    <xf numFmtId="3" fontId="4" fillId="0" borderId="0" xfId="0" applyFont="1" applyBorder="1" applyAlignment="1">
      <alignment/>
    </xf>
    <xf numFmtId="174" fontId="4" fillId="0" borderId="8" xfId="42" applyNumberFormat="1" applyFont="1" applyBorder="1" applyAlignment="1">
      <alignment horizontal="center" vertical="center"/>
    </xf>
    <xf numFmtId="170" fontId="4" fillId="0" borderId="0" xfId="42" applyNumberFormat="1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83" fontId="4" fillId="0" borderId="0" xfId="63" applyNumberFormat="1" applyFont="1">
      <alignment/>
      <protection/>
    </xf>
    <xf numFmtId="171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3" fontId="4" fillId="0" borderId="0" xfId="0" applyFont="1" applyAlignment="1">
      <alignment horizontal="center" vertical="center"/>
    </xf>
    <xf numFmtId="3" fontId="4" fillId="0" borderId="0" xfId="0" applyFont="1" applyAlignment="1">
      <alignment horizontal="left" vertical="center"/>
    </xf>
    <xf numFmtId="3" fontId="4" fillId="0" borderId="12" xfId="0" applyFont="1" applyBorder="1" applyAlignment="1">
      <alignment/>
    </xf>
    <xf numFmtId="3" fontId="6" fillId="0" borderId="0" xfId="0" applyFont="1" applyAlignment="1">
      <alignment/>
    </xf>
    <xf numFmtId="3" fontId="4" fillId="0" borderId="0" xfId="45" applyFont="1" applyAlignment="1">
      <alignment/>
    </xf>
    <xf numFmtId="3" fontId="4" fillId="0" borderId="14" xfId="0" applyFont="1" applyBorder="1" applyAlignment="1">
      <alignment horizontal="center"/>
    </xf>
    <xf numFmtId="3" fontId="5" fillId="0" borderId="15" xfId="0" applyFont="1" applyBorder="1" applyAlignment="1">
      <alignment/>
    </xf>
    <xf numFmtId="3" fontId="5" fillId="0" borderId="8" xfId="0" applyFont="1" applyBorder="1" applyAlignment="1">
      <alignment/>
    </xf>
    <xf numFmtId="4" fontId="0" fillId="0" borderId="7" xfId="42" applyFont="1" applyBorder="1" applyAlignment="1">
      <alignment horizontal="center"/>
    </xf>
    <xf numFmtId="4" fontId="0" fillId="0" borderId="0" xfId="42" applyFont="1" applyBorder="1" applyAlignment="1">
      <alignment horizontal="center"/>
    </xf>
    <xf numFmtId="4" fontId="0" fillId="0" borderId="8" xfId="42" applyFont="1" applyBorder="1" applyAlignment="1">
      <alignment horizontal="center"/>
    </xf>
    <xf numFmtId="166" fontId="5" fillId="0" borderId="0" xfId="46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46" applyFont="1" applyBorder="1" applyAlignment="1">
      <alignment horizontal="center"/>
    </xf>
    <xf numFmtId="0" fontId="4" fillId="0" borderId="0" xfId="63" applyBorder="1">
      <alignment/>
      <protection/>
    </xf>
    <xf numFmtId="3" fontId="5" fillId="0" borderId="0" xfId="0" applyFont="1" applyAlignment="1">
      <alignment horizontal="centerContinuous" vertical="center"/>
    </xf>
    <xf numFmtId="3" fontId="4" fillId="0" borderId="0" xfId="42" applyNumberFormat="1" applyFont="1" applyBorder="1" applyAlignment="1">
      <alignment horizontal="center"/>
    </xf>
    <xf numFmtId="3" fontId="4" fillId="0" borderId="8" xfId="42" applyNumberFormat="1" applyFont="1" applyBorder="1" applyAlignment="1">
      <alignment/>
    </xf>
    <xf numFmtId="164" fontId="4" fillId="0" borderId="0" xfId="46" applyNumberFormat="1" applyFont="1" applyAlignment="1">
      <alignment/>
    </xf>
    <xf numFmtId="3" fontId="4" fillId="0" borderId="0" xfId="0" applyFont="1" applyAlignment="1">
      <alignment horizontal="left" vertical="center"/>
    </xf>
    <xf numFmtId="10" fontId="4" fillId="0" borderId="0" xfId="66" applyFont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3" fontId="4" fillId="0" borderId="0" xfId="0" applyFont="1" applyAlignment="1" applyProtection="1">
      <alignment horizontal="centerContinuous" vertical="center"/>
      <protection locked="0"/>
    </xf>
    <xf numFmtId="3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42" applyFont="1" applyAlignment="1">
      <alignment/>
    </xf>
    <xf numFmtId="3" fontId="6" fillId="0" borderId="8" xfId="0" applyFont="1" applyBorder="1" applyAlignment="1">
      <alignment horizontal="center"/>
    </xf>
    <xf numFmtId="176" fontId="0" fillId="0" borderId="0" xfId="42" applyNumberFormat="1" applyFont="1" applyBorder="1" applyAlignment="1">
      <alignment/>
    </xf>
    <xf numFmtId="4" fontId="0" fillId="0" borderId="0" xfId="42" applyFont="1" applyBorder="1" applyAlignment="1">
      <alignment/>
    </xf>
    <xf numFmtId="4" fontId="0" fillId="0" borderId="8" xfId="42" applyFont="1" applyBorder="1" applyAlignment="1">
      <alignment/>
    </xf>
    <xf numFmtId="4" fontId="4" fillId="0" borderId="8" xfId="46" applyNumberFormat="1" applyFont="1" applyBorder="1" applyAlignment="1">
      <alignment/>
    </xf>
    <xf numFmtId="174" fontId="4" fillId="0" borderId="0" xfId="44" applyNumberFormat="1" applyFont="1" applyBorder="1" applyAlignment="1">
      <alignment horizontal="center"/>
    </xf>
    <xf numFmtId="3" fontId="4" fillId="0" borderId="7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174" fontId="4" fillId="0" borderId="0" xfId="42" applyNumberFormat="1" applyFont="1" applyBorder="1" applyAlignment="1">
      <alignment horizontal="left"/>
    </xf>
    <xf numFmtId="174" fontId="4" fillId="0" borderId="0" xfId="42" applyNumberFormat="1" applyFont="1" applyFill="1" applyBorder="1" applyAlignment="1">
      <alignment horizontal="left"/>
    </xf>
    <xf numFmtId="174" fontId="4" fillId="0" borderId="8" xfId="42" applyNumberFormat="1" applyFont="1" applyBorder="1" applyAlignment="1">
      <alignment horizontal="left"/>
    </xf>
    <xf numFmtId="164" fontId="5" fillId="0" borderId="0" xfId="46" applyNumberFormat="1" applyFont="1" applyAlignment="1">
      <alignment/>
    </xf>
    <xf numFmtId="3" fontId="5" fillId="0" borderId="0" xfId="0" applyFont="1" applyAlignment="1">
      <alignment horizontal="left"/>
    </xf>
    <xf numFmtId="174" fontId="13" fillId="0" borderId="0" xfId="42" applyNumberFormat="1" applyFont="1" applyFill="1" applyBorder="1" applyAlignment="1">
      <alignment/>
    </xf>
    <xf numFmtId="174" fontId="10" fillId="0" borderId="0" xfId="42" applyNumberFormat="1" applyFont="1" applyAlignment="1">
      <alignment/>
    </xf>
    <xf numFmtId="3" fontId="4" fillId="0" borderId="16" xfId="0" applyFont="1" applyBorder="1" applyAlignment="1">
      <alignment horizontal="center"/>
    </xf>
    <xf numFmtId="3" fontId="4" fillId="0" borderId="17" xfId="0" applyFont="1" applyBorder="1" applyAlignment="1">
      <alignment horizontal="center"/>
    </xf>
    <xf numFmtId="3" fontId="4" fillId="0" borderId="18" xfId="0" applyFont="1" applyBorder="1" applyAlignment="1">
      <alignment horizontal="center"/>
    </xf>
    <xf numFmtId="3" fontId="4" fillId="0" borderId="15" xfId="0" applyFont="1" applyBorder="1" applyAlignment="1">
      <alignment horizontal="center"/>
    </xf>
    <xf numFmtId="3" fontId="4" fillId="0" borderId="19" xfId="0" applyFont="1" applyBorder="1" applyAlignment="1">
      <alignment horizontal="center"/>
    </xf>
    <xf numFmtId="3" fontId="4" fillId="0" borderId="20" xfId="0" applyFont="1" applyBorder="1" applyAlignment="1">
      <alignment horizontal="center"/>
    </xf>
    <xf numFmtId="3" fontId="4" fillId="0" borderId="21" xfId="0" applyFont="1" applyBorder="1" applyAlignment="1">
      <alignment horizontal="center"/>
    </xf>
    <xf numFmtId="3" fontId="4" fillId="0" borderId="22" xfId="0" applyFont="1" applyBorder="1" applyAlignment="1">
      <alignment horizontal="center"/>
    </xf>
    <xf numFmtId="3" fontId="4" fillId="0" borderId="23" xfId="0" applyFont="1" applyBorder="1" applyAlignment="1">
      <alignment horizontal="center"/>
    </xf>
    <xf numFmtId="164" fontId="8" fillId="0" borderId="0" xfId="46" applyNumberFormat="1" applyFont="1" applyBorder="1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 vertical="center" wrapText="1"/>
    </xf>
    <xf numFmtId="3" fontId="4" fillId="0" borderId="14" xfId="0" applyFont="1" applyBorder="1" applyAlignment="1">
      <alignment/>
    </xf>
    <xf numFmtId="4" fontId="5" fillId="0" borderId="0" xfId="0" applyNumberFormat="1" applyFont="1" applyAlignment="1">
      <alignment/>
    </xf>
    <xf numFmtId="174" fontId="4" fillId="0" borderId="0" xfId="44" applyNumberFormat="1" applyFont="1" applyBorder="1" applyAlignment="1">
      <alignment horizontal="centerContinuous" vertic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42" applyNumberFormat="1" applyFont="1" applyBorder="1" applyAlignment="1">
      <alignment/>
    </xf>
    <xf numFmtId="4" fontId="4" fillId="0" borderId="0" xfId="42" applyNumberFormat="1" applyFont="1" applyAlignment="1">
      <alignment/>
    </xf>
    <xf numFmtId="3" fontId="5" fillId="0" borderId="0" xfId="42" applyNumberFormat="1" applyFont="1" applyAlignment="1">
      <alignment/>
    </xf>
    <xf numFmtId="4" fontId="4" fillId="0" borderId="8" xfId="42" applyNumberFormat="1" applyFont="1" applyBorder="1" applyAlignment="1">
      <alignment/>
    </xf>
    <xf numFmtId="4" fontId="4" fillId="0" borderId="0" xfId="42" applyNumberFormat="1" applyFont="1" applyBorder="1" applyAlignment="1">
      <alignment horizontal="right"/>
    </xf>
    <xf numFmtId="2" fontId="4" fillId="0" borderId="0" xfId="42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172" fontId="4" fillId="0" borderId="0" xfId="0" applyNumberFormat="1" applyFont="1" applyAlignment="1">
      <alignment horizontal="right"/>
    </xf>
    <xf numFmtId="174" fontId="10" fillId="0" borderId="0" xfId="42" applyNumberFormat="1" applyFont="1" applyBorder="1" applyAlignment="1">
      <alignment/>
    </xf>
    <xf numFmtId="166" fontId="4" fillId="0" borderId="0" xfId="46" applyNumberFormat="1" applyFont="1" applyAlignment="1">
      <alignment/>
    </xf>
    <xf numFmtId="166" fontId="4" fillId="0" borderId="0" xfId="0" applyNumberFormat="1" applyFont="1" applyAlignment="1">
      <alignment/>
    </xf>
    <xf numFmtId="3" fontId="4" fillId="0" borderId="14" xfId="0" applyFont="1" applyBorder="1" applyAlignment="1">
      <alignment horizontal="left"/>
    </xf>
    <xf numFmtId="3" fontId="4" fillId="0" borderId="8" xfId="45" applyFont="1" applyBorder="1" applyAlignment="1">
      <alignment/>
    </xf>
    <xf numFmtId="4" fontId="4" fillId="0" borderId="0" xfId="63" applyNumberFormat="1">
      <alignment/>
      <protection/>
    </xf>
    <xf numFmtId="3" fontId="4" fillId="0" borderId="0" xfId="0" applyFont="1" applyBorder="1" applyAlignment="1">
      <alignment horizontal="left"/>
    </xf>
    <xf numFmtId="3" fontId="4" fillId="0" borderId="0" xfId="0" applyFont="1" applyAlignment="1" applyProtection="1">
      <alignment horizontal="left" vertical="center"/>
      <protection locked="0"/>
    </xf>
    <xf numFmtId="3" fontId="14" fillId="0" borderId="0" xfId="0" applyFont="1" applyAlignment="1">
      <alignment/>
    </xf>
    <xf numFmtId="173" fontId="4" fillId="0" borderId="0" xfId="42" applyNumberFormat="1" applyFont="1" applyFill="1" applyBorder="1" applyAlignment="1">
      <alignment/>
    </xf>
    <xf numFmtId="173" fontId="4" fillId="0" borderId="8" xfId="42" applyNumberFormat="1" applyFont="1" applyFill="1" applyBorder="1" applyAlignment="1">
      <alignment/>
    </xf>
    <xf numFmtId="174" fontId="4" fillId="0" borderId="0" xfId="42" applyNumberFormat="1" applyFont="1" applyBorder="1" applyAlignment="1">
      <alignment horizontal="center"/>
    </xf>
    <xf numFmtId="174" fontId="17" fillId="0" borderId="0" xfId="42" applyNumberFormat="1" applyFont="1" applyFill="1" applyBorder="1" applyAlignment="1">
      <alignment/>
    </xf>
    <xf numFmtId="174" fontId="10" fillId="0" borderId="0" xfId="42" applyNumberFormat="1" applyFont="1" applyFill="1" applyAlignment="1">
      <alignment/>
    </xf>
    <xf numFmtId="4" fontId="4" fillId="0" borderId="11" xfId="42" applyFont="1" applyBorder="1" applyAlignment="1">
      <alignment/>
    </xf>
    <xf numFmtId="44" fontId="0" fillId="0" borderId="0" xfId="46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4" fontId="5" fillId="0" borderId="8" xfId="0" applyNumberFormat="1" applyFont="1" applyBorder="1" applyAlignment="1">
      <alignment/>
    </xf>
    <xf numFmtId="184" fontId="4" fillId="0" borderId="0" xfId="42" applyNumberFormat="1" applyFont="1" applyBorder="1" applyAlignment="1">
      <alignment/>
    </xf>
    <xf numFmtId="184" fontId="4" fillId="0" borderId="0" xfId="42" applyNumberFormat="1" applyFont="1" applyAlignment="1" applyProtection="1">
      <alignment/>
      <protection locked="0"/>
    </xf>
    <xf numFmtId="43" fontId="4" fillId="0" borderId="0" xfId="42" applyNumberFormat="1" applyFont="1" applyFill="1" applyAlignment="1" applyProtection="1">
      <alignment/>
      <protection locked="0"/>
    </xf>
    <xf numFmtId="184" fontId="4" fillId="0" borderId="8" xfId="42" applyNumberFormat="1" applyFont="1" applyBorder="1" applyAlignment="1">
      <alignment/>
    </xf>
    <xf numFmtId="184" fontId="4" fillId="0" borderId="0" xfId="42" applyNumberFormat="1" applyFont="1" applyAlignment="1">
      <alignment horizontal="right"/>
    </xf>
    <xf numFmtId="44" fontId="4" fillId="0" borderId="0" xfId="42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41" fontId="4" fillId="0" borderId="8" xfId="0" applyNumberFormat="1" applyFont="1" applyFill="1" applyBorder="1" applyAlignment="1">
      <alignment/>
    </xf>
    <xf numFmtId="174" fontId="0" fillId="0" borderId="0" xfId="46" applyNumberFormat="1" applyFont="1" applyBorder="1" applyAlignment="1">
      <alignment horizontal="left" indent="2"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9" xfId="0" applyNumberFormat="1" applyBorder="1" applyAlignment="1">
      <alignment/>
    </xf>
    <xf numFmtId="173" fontId="4" fillId="0" borderId="0" xfId="46" applyNumberFormat="1" applyFont="1" applyFill="1" applyAlignment="1">
      <alignment horizontal="right"/>
    </xf>
    <xf numFmtId="174" fontId="50" fillId="0" borderId="0" xfId="42" applyNumberFormat="1" applyFont="1" applyFill="1" applyAlignment="1">
      <alignment/>
    </xf>
    <xf numFmtId="174" fontId="50" fillId="0" borderId="0" xfId="42" applyNumberFormat="1" applyFont="1" applyFill="1" applyBorder="1" applyAlignment="1">
      <alignment/>
    </xf>
    <xf numFmtId="174" fontId="50" fillId="0" borderId="8" xfId="42" applyNumberFormat="1" applyFont="1" applyFill="1" applyBorder="1" applyAlignment="1">
      <alignment/>
    </xf>
    <xf numFmtId="174" fontId="4" fillId="0" borderId="9" xfId="42" applyNumberFormat="1" applyFont="1" applyFill="1" applyBorder="1" applyAlignment="1">
      <alignment/>
    </xf>
    <xf numFmtId="174" fontId="51" fillId="0" borderId="0" xfId="42" applyNumberFormat="1" applyFont="1" applyFill="1" applyBorder="1" applyAlignment="1">
      <alignment/>
    </xf>
    <xf numFmtId="174" fontId="52" fillId="0" borderId="0" xfId="42" applyNumberFormat="1" applyFont="1" applyFill="1" applyAlignment="1">
      <alignment/>
    </xf>
    <xf numFmtId="176" fontId="4" fillId="0" borderId="0" xfId="42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4" fontId="4" fillId="0" borderId="0" xfId="42" applyFont="1" applyBorder="1" applyAlignment="1">
      <alignment/>
    </xf>
    <xf numFmtId="4" fontId="4" fillId="0" borderId="8" xfId="42" applyFont="1" applyBorder="1" applyAlignment="1">
      <alignment/>
    </xf>
    <xf numFmtId="44" fontId="4" fillId="0" borderId="0" xfId="46" applyNumberFormat="1" applyFont="1" applyAlignment="1">
      <alignment/>
    </xf>
    <xf numFmtId="0" fontId="4" fillId="0" borderId="8" xfId="63" applyFont="1" applyBorder="1" applyAlignment="1">
      <alignment horizontal="centerContinuous"/>
      <protection/>
    </xf>
    <xf numFmtId="2" fontId="4" fillId="0" borderId="0" xfId="63" applyNumberFormat="1" applyFont="1">
      <alignment/>
      <protection/>
    </xf>
    <xf numFmtId="3" fontId="4" fillId="0" borderId="0" xfId="63" applyNumberFormat="1" applyFont="1">
      <alignment/>
      <protection/>
    </xf>
    <xf numFmtId="183" fontId="4" fillId="0" borderId="0" xfId="44" applyNumberFormat="1" applyFont="1" applyBorder="1" applyAlignment="1">
      <alignment/>
    </xf>
    <xf numFmtId="183" fontId="4" fillId="0" borderId="0" xfId="44" applyNumberFormat="1" applyFont="1" applyAlignment="1" applyProtection="1">
      <alignment/>
      <protection locked="0"/>
    </xf>
    <xf numFmtId="183" fontId="4" fillId="0" borderId="8" xfId="44" applyNumberFormat="1" applyFont="1" applyBorder="1" applyAlignment="1">
      <alignment/>
    </xf>
    <xf numFmtId="2" fontId="4" fillId="0" borderId="8" xfId="63" applyNumberFormat="1" applyFont="1" applyBorder="1">
      <alignment/>
      <protection/>
    </xf>
    <xf numFmtId="184" fontId="4" fillId="0" borderId="0" xfId="42" applyNumberFormat="1" applyFont="1" applyAlignment="1">
      <alignment/>
    </xf>
    <xf numFmtId="3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69" fontId="4" fillId="0" borderId="0" xfId="0" applyNumberFormat="1" applyFont="1" applyAlignment="1" quotePrefix="1">
      <alignment horizontal="left"/>
    </xf>
    <xf numFmtId="41" fontId="4" fillId="0" borderId="0" xfId="0" applyNumberFormat="1" applyFont="1" applyBorder="1" applyAlignment="1">
      <alignment/>
    </xf>
    <xf numFmtId="174" fontId="4" fillId="0" borderId="0" xfId="42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3" fontId="4" fillId="33" borderId="0" xfId="0" applyNumberFormat="1" applyFont="1" applyFill="1" applyAlignment="1">
      <alignment/>
    </xf>
    <xf numFmtId="43" fontId="4" fillId="0" borderId="0" xfId="42" applyNumberFormat="1" applyFont="1" applyAlignment="1">
      <alignment/>
    </xf>
    <xf numFmtId="3" fontId="4" fillId="0" borderId="0" xfId="0" applyFont="1" applyAlignment="1">
      <alignment horizontal="center" vertical="center"/>
    </xf>
    <xf numFmtId="3" fontId="4" fillId="0" borderId="8" xfId="0" applyFont="1" applyBorder="1" applyAlignment="1">
      <alignment horizontal="center"/>
    </xf>
    <xf numFmtId="3" fontId="4" fillId="0" borderId="14" xfId="0" applyFont="1" applyBorder="1" applyAlignment="1">
      <alignment horizontal="center"/>
    </xf>
    <xf numFmtId="3" fontId="5" fillId="0" borderId="0" xfId="0" applyFont="1" applyAlignment="1">
      <alignment wrapText="1"/>
    </xf>
    <xf numFmtId="3" fontId="5" fillId="0" borderId="9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7" fillId="0" borderId="24" xfId="0" applyFont="1" applyBorder="1" applyAlignment="1">
      <alignment horizontal="center" vertical="center" wrapText="1"/>
    </xf>
    <xf numFmtId="3" fontId="7" fillId="0" borderId="0" xfId="0" applyFont="1" applyAlignment="1">
      <alignment horizontal="center" vertical="center" wrapText="1"/>
    </xf>
    <xf numFmtId="3" fontId="7" fillId="0" borderId="9" xfId="0" applyFont="1" applyBorder="1" applyAlignment="1">
      <alignment horizontal="center"/>
    </xf>
    <xf numFmtId="3" fontId="7" fillId="0" borderId="9" xfId="0" applyFont="1" applyBorder="1" applyAlignment="1">
      <alignment horizontal="center" vertical="center" wrapText="1"/>
    </xf>
    <xf numFmtId="3" fontId="5" fillId="0" borderId="0" xfId="0" applyFont="1" applyBorder="1" applyAlignment="1">
      <alignment horizontal="center" vertical="center" wrapText="1"/>
    </xf>
    <xf numFmtId="3" fontId="0" fillId="0" borderId="8" xfId="0" applyBorder="1" applyAlignment="1">
      <alignment horizontal="center" vertical="center" wrapText="1"/>
    </xf>
    <xf numFmtId="3" fontId="5" fillId="0" borderId="25" xfId="0" applyFont="1" applyBorder="1" applyAlignment="1">
      <alignment horizontal="center"/>
    </xf>
    <xf numFmtId="3" fontId="5" fillId="0" borderId="14" xfId="0" applyFont="1" applyBorder="1" applyAlignment="1">
      <alignment horizontal="center"/>
    </xf>
    <xf numFmtId="3" fontId="5" fillId="0" borderId="26" xfId="0" applyFont="1" applyBorder="1" applyAlignment="1">
      <alignment horizontal="center"/>
    </xf>
    <xf numFmtId="3" fontId="4" fillId="0" borderId="9" xfId="0" applyFont="1" applyBorder="1" applyAlignment="1">
      <alignment horizontal="center"/>
    </xf>
    <xf numFmtId="3" fontId="4" fillId="0" borderId="9" xfId="0" applyFont="1" applyBorder="1" applyAlignment="1">
      <alignment horizontal="center"/>
    </xf>
    <xf numFmtId="3" fontId="5" fillId="0" borderId="13" xfId="0" applyFont="1" applyBorder="1" applyAlignment="1">
      <alignment horizontal="center"/>
    </xf>
    <xf numFmtId="3" fontId="5" fillId="0" borderId="11" xfId="0" applyFont="1" applyBorder="1" applyAlignment="1">
      <alignment horizontal="center" vertical="center" wrapText="1"/>
    </xf>
    <xf numFmtId="3" fontId="5" fillId="0" borderId="8" xfId="0" applyFont="1" applyBorder="1" applyAlignment="1">
      <alignment horizontal="center" vertical="center" wrapText="1"/>
    </xf>
    <xf numFmtId="3" fontId="4" fillId="0" borderId="8" xfId="0" applyFont="1" applyBorder="1" applyAlignment="1">
      <alignment horizontal="center"/>
    </xf>
    <xf numFmtId="3" fontId="5" fillId="0" borderId="11" xfId="0" applyFont="1" applyBorder="1" applyAlignment="1">
      <alignment horizontal="center"/>
    </xf>
    <xf numFmtId="3" fontId="4" fillId="0" borderId="8" xfId="0" applyFont="1" applyBorder="1" applyAlignment="1">
      <alignment/>
    </xf>
    <xf numFmtId="3" fontId="4" fillId="0" borderId="0" xfId="0" applyFont="1" applyBorder="1" applyAlignment="1">
      <alignment horizontal="center"/>
    </xf>
    <xf numFmtId="3" fontId="4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FD2001PT4 TB19" xfId="44"/>
    <cellStyle name="Comma0" xfId="45"/>
    <cellStyle name="Currency" xfId="46"/>
    <cellStyle name="Currency [0]" xfId="47"/>
    <cellStyle name="Currency_SFD2001PT4 TB19" xfId="48"/>
    <cellStyle name="Currency0" xfId="49"/>
    <cellStyle name="Date" xfId="50"/>
    <cellStyle name="Explanatory Text" xfId="51"/>
    <cellStyle name="Fixed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_SFD2001PT4 TB1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1"/>
  <sheetViews>
    <sheetView tabSelected="1" zoomScalePageLayoutView="0" workbookViewId="0" topLeftCell="E4">
      <selection activeCell="K10" sqref="K10"/>
    </sheetView>
  </sheetViews>
  <sheetFormatPr defaultColWidth="12.00390625" defaultRowHeight="15.75"/>
  <cols>
    <col min="1" max="1" width="12.875" style="1" customWidth="1"/>
    <col min="2" max="2" width="12.25390625" style="1" customWidth="1"/>
    <col min="3" max="3" width="11.25390625" style="1" customWidth="1"/>
    <col min="4" max="11" width="12.625" style="1" customWidth="1"/>
    <col min="12" max="12" width="7.75390625" style="1" customWidth="1"/>
    <col min="13" max="13" width="7.00390625" style="1" customWidth="1"/>
    <col min="14" max="14" width="9.375" style="1" bestFit="1" customWidth="1"/>
    <col min="15" max="15" width="10.50390625" style="1" customWidth="1"/>
    <col min="16" max="18" width="9.375" style="1" bestFit="1" customWidth="1"/>
    <col min="19" max="20" width="9.375" style="3" bestFit="1" customWidth="1"/>
    <col min="21" max="22" width="12.00390625" style="3" customWidth="1"/>
    <col min="23" max="23" width="10.125" style="1" customWidth="1"/>
    <col min="24" max="26" width="12.625" style="1" customWidth="1"/>
    <col min="27" max="27" width="10.875" style="3" bestFit="1" customWidth="1"/>
    <col min="28" max="28" width="9.375" style="3" bestFit="1" customWidth="1"/>
    <col min="29" max="29" width="12.625" style="3" customWidth="1"/>
    <col min="30" max="30" width="13.25390625" style="0" bestFit="1" customWidth="1"/>
    <col min="31" max="31" width="12.375" style="0" bestFit="1" customWidth="1"/>
    <col min="32" max="32" width="12.00390625" style="3" customWidth="1"/>
    <col min="33" max="33" width="12.50390625" style="3" bestFit="1" customWidth="1"/>
    <col min="34" max="34" width="12.00390625" style="3" customWidth="1"/>
    <col min="35" max="35" width="12.50390625" style="3" bestFit="1" customWidth="1"/>
    <col min="36" max="36" width="9.375" style="3" bestFit="1" customWidth="1"/>
    <col min="37" max="37" width="12.50390625" style="3" bestFit="1" customWidth="1"/>
    <col min="38" max="38" width="12.00390625" style="3" customWidth="1"/>
    <col min="39" max="39" width="12.50390625" style="3" bestFit="1" customWidth="1"/>
    <col min="40" max="40" width="12.00390625" style="3" customWidth="1"/>
    <col min="41" max="41" width="12.50390625" style="3" bestFit="1" customWidth="1"/>
    <col min="42" max="42" width="12.00390625" style="3" customWidth="1"/>
    <col min="43" max="43" width="13.50390625" style="3" bestFit="1" customWidth="1"/>
    <col min="44" max="44" width="12.00390625" style="3" customWidth="1"/>
    <col min="45" max="45" width="13.50390625" style="3" bestFit="1" customWidth="1"/>
    <col min="46" max="46" width="12.00390625" style="3" customWidth="1"/>
    <col min="47" max="47" width="13.50390625" style="3" bestFit="1" customWidth="1"/>
    <col min="48" max="48" width="14.00390625" style="3" customWidth="1"/>
    <col min="49" max="49" width="13.50390625" style="3" bestFit="1" customWidth="1"/>
    <col min="50" max="50" width="12.00390625" style="3" customWidth="1"/>
    <col min="51" max="51" width="13.125" style="3" customWidth="1"/>
    <col min="52" max="16384" width="12.00390625" style="3" customWidth="1"/>
  </cols>
  <sheetData>
    <row r="1" spans="1:26" ht="15.75" customHeight="1">
      <c r="A1" s="314" t="s">
        <v>95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111"/>
      <c r="O1" s="10"/>
      <c r="Q1" s="2"/>
      <c r="R1" s="2"/>
      <c r="W1" s="115"/>
      <c r="X1" s="115"/>
      <c r="Y1" s="115"/>
      <c r="Z1" s="115"/>
    </row>
    <row r="2" spans="1:26" ht="15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2"/>
      <c r="Q2" s="2"/>
      <c r="R2" s="2"/>
      <c r="W2" s="115"/>
      <c r="X2" s="115"/>
      <c r="Y2" s="115"/>
      <c r="Z2" s="115"/>
    </row>
    <row r="3" spans="1:31" s="126" customFormat="1" ht="15.75">
      <c r="A3" s="314" t="s">
        <v>225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115"/>
      <c r="O3" s="127"/>
      <c r="P3" s="94"/>
      <c r="Q3" s="2"/>
      <c r="R3" s="2"/>
      <c r="W3" s="115"/>
      <c r="X3" s="115"/>
      <c r="Y3" s="115"/>
      <c r="Z3" s="115"/>
      <c r="AD3" s="85"/>
      <c r="AE3" s="85"/>
    </row>
    <row r="4" spans="1:26" ht="15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10"/>
      <c r="Q4" s="2"/>
      <c r="R4" s="2"/>
      <c r="W4" s="115"/>
      <c r="X4" s="115"/>
      <c r="Y4" s="115"/>
      <c r="Z4" s="115"/>
    </row>
    <row r="5" spans="1:26" ht="16.5" thickBot="1">
      <c r="A5" s="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22"/>
      <c r="O5" s="22"/>
      <c r="S5" s="22"/>
      <c r="T5" s="1"/>
      <c r="U5" s="22"/>
      <c r="W5" s="94"/>
      <c r="X5" s="94"/>
      <c r="Y5" s="94"/>
      <c r="Z5" s="94"/>
    </row>
    <row r="6" spans="1:32" ht="16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R6" s="3"/>
      <c r="S6" s="5"/>
      <c r="T6" s="1"/>
      <c r="U6" s="5"/>
      <c r="V6" s="5"/>
      <c r="W6" s="5"/>
      <c r="X6" s="5"/>
      <c r="Y6" s="5"/>
      <c r="Z6" s="5"/>
      <c r="AA6" s="5"/>
      <c r="AB6" s="5"/>
      <c r="AC6" s="5"/>
      <c r="AD6" s="7"/>
      <c r="AF6"/>
    </row>
    <row r="7" spans="12:32" ht="15.75">
      <c r="L7" s="6" t="s">
        <v>34</v>
      </c>
      <c r="M7" s="6"/>
      <c r="R7" s="3"/>
      <c r="S7" s="1"/>
      <c r="T7" s="1"/>
      <c r="U7" s="1"/>
      <c r="V7" s="1"/>
      <c r="AA7" s="1"/>
      <c r="AB7" s="1"/>
      <c r="AC7" s="1"/>
      <c r="AD7" s="1"/>
      <c r="AF7"/>
    </row>
    <row r="8" spans="1:52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7"/>
      <c r="P8" s="7"/>
      <c r="Q8" s="7"/>
      <c r="R8" s="3"/>
      <c r="S8" s="7"/>
      <c r="T8" s="1"/>
      <c r="U8" s="7"/>
      <c r="V8" s="7"/>
      <c r="W8" s="7"/>
      <c r="X8" s="7"/>
      <c r="Y8" s="7"/>
      <c r="Z8" s="7"/>
      <c r="AA8" s="7"/>
      <c r="AB8" s="7"/>
      <c r="AC8" s="7"/>
      <c r="AD8" s="7"/>
      <c r="AF8"/>
      <c r="AL8" s="20" t="s">
        <v>186</v>
      </c>
      <c r="AN8" s="20" t="s">
        <v>186</v>
      </c>
      <c r="AP8" s="20" t="s">
        <v>186</v>
      </c>
      <c r="AR8" s="20" t="s">
        <v>186</v>
      </c>
      <c r="AT8" s="20" t="s">
        <v>186</v>
      </c>
      <c r="AV8" s="20" t="s">
        <v>186</v>
      </c>
      <c r="AX8" s="20" t="s">
        <v>186</v>
      </c>
      <c r="AZ8" s="20" t="s">
        <v>186</v>
      </c>
    </row>
    <row r="9" spans="1:52" ht="13.5" thickBot="1">
      <c r="A9" s="8" t="s">
        <v>1</v>
      </c>
      <c r="B9" s="40" t="s">
        <v>105</v>
      </c>
      <c r="C9" s="40" t="s">
        <v>161</v>
      </c>
      <c r="D9" s="40" t="s">
        <v>168</v>
      </c>
      <c r="E9" s="40" t="s">
        <v>184</v>
      </c>
      <c r="F9" s="40" t="s">
        <v>194</v>
      </c>
      <c r="G9" s="40" t="s">
        <v>208</v>
      </c>
      <c r="H9" s="40" t="s">
        <v>243</v>
      </c>
      <c r="I9" s="40" t="s">
        <v>256</v>
      </c>
      <c r="J9" s="9" t="s">
        <v>269</v>
      </c>
      <c r="K9" s="9" t="s">
        <v>284</v>
      </c>
      <c r="L9" s="40" t="s">
        <v>84</v>
      </c>
      <c r="M9" s="40" t="s">
        <v>84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71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4"/>
      <c r="AE9" s="9" t="s">
        <v>104</v>
      </c>
      <c r="AF9" s="9" t="s">
        <v>104</v>
      </c>
      <c r="AG9" s="9" t="s">
        <v>105</v>
      </c>
      <c r="AH9" s="9" t="s">
        <v>105</v>
      </c>
      <c r="AI9" s="125" t="s">
        <v>161</v>
      </c>
      <c r="AJ9" s="125" t="s">
        <v>161</v>
      </c>
      <c r="AK9" s="20" t="s">
        <v>168</v>
      </c>
      <c r="AL9" s="20" t="s">
        <v>168</v>
      </c>
      <c r="AM9" s="20" t="s">
        <v>184</v>
      </c>
      <c r="AN9" s="20" t="s">
        <v>184</v>
      </c>
      <c r="AO9" s="20" t="s">
        <v>194</v>
      </c>
      <c r="AP9" s="20" t="s">
        <v>194</v>
      </c>
      <c r="AQ9" s="20" t="s">
        <v>208</v>
      </c>
      <c r="AR9" s="20" t="s">
        <v>208</v>
      </c>
      <c r="AS9" s="20" t="s">
        <v>243</v>
      </c>
      <c r="AT9" s="20" t="s">
        <v>243</v>
      </c>
      <c r="AU9" s="20" t="s">
        <v>256</v>
      </c>
      <c r="AV9" s="20" t="s">
        <v>256</v>
      </c>
      <c r="AW9" s="20" t="s">
        <v>269</v>
      </c>
      <c r="AX9" s="20" t="s">
        <v>269</v>
      </c>
      <c r="AY9" s="20" t="s">
        <v>284</v>
      </c>
      <c r="AZ9" s="20" t="s">
        <v>284</v>
      </c>
    </row>
    <row r="10" spans="1:52" ht="13.5" thickTop="1">
      <c r="A10" s="7" t="s">
        <v>5</v>
      </c>
      <c r="B10" s="35">
        <f aca="true" t="shared" si="0" ref="B10:K10">SUM(B12:B43)</f>
        <v>7970074</v>
      </c>
      <c r="C10" s="35">
        <f t="shared" si="0"/>
        <v>8486727</v>
      </c>
      <c r="D10" s="35">
        <f t="shared" si="0"/>
        <v>8796946</v>
      </c>
      <c r="E10" s="35">
        <f t="shared" si="0"/>
        <v>8871421</v>
      </c>
      <c r="F10" s="35">
        <f t="shared" si="0"/>
        <v>9921461.90902</v>
      </c>
      <c r="G10" s="35">
        <f t="shared" si="0"/>
        <v>10748937</v>
      </c>
      <c r="H10" s="35">
        <f t="shared" si="0"/>
        <v>11647897.804180002</v>
      </c>
      <c r="I10" s="35">
        <f t="shared" si="0"/>
        <v>12951089.862099998</v>
      </c>
      <c r="J10" s="35">
        <f t="shared" si="0"/>
        <v>13104083.618929997</v>
      </c>
      <c r="K10" s="35">
        <f t="shared" si="0"/>
        <v>13367359.070639001</v>
      </c>
      <c r="L10" s="243">
        <f>(K10-J10)*100/J10</f>
        <v>2.009109979492802</v>
      </c>
      <c r="M10" s="55">
        <f>(K10-AC10)*100/AC10</f>
        <v>81.12258121591003</v>
      </c>
      <c r="N10" s="13">
        <f>SUM(N12:N39)</f>
        <v>2708782</v>
      </c>
      <c r="O10" s="13">
        <f aca="true" t="shared" si="1" ref="O10:U10">SUM(O12:O39)</f>
        <v>2924289</v>
      </c>
      <c r="P10" s="13">
        <f t="shared" si="1"/>
        <v>3241664</v>
      </c>
      <c r="Q10" s="13">
        <f t="shared" si="1"/>
        <v>3533901</v>
      </c>
      <c r="R10" s="13">
        <f t="shared" si="1"/>
        <v>3853453</v>
      </c>
      <c r="S10" s="13">
        <f t="shared" si="1"/>
        <v>4337276</v>
      </c>
      <c r="T10" s="13">
        <f t="shared" si="1"/>
        <v>4603016</v>
      </c>
      <c r="U10" s="13">
        <f t="shared" si="1"/>
        <v>4671600</v>
      </c>
      <c r="V10" s="11">
        <f aca="true" t="shared" si="2" ref="V10:AC10">SUM(V12:V43)</f>
        <v>4971938</v>
      </c>
      <c r="W10" s="35">
        <f t="shared" si="2"/>
        <v>5232243</v>
      </c>
      <c r="X10" s="35">
        <f t="shared" si="2"/>
        <v>5617081</v>
      </c>
      <c r="Y10" s="35">
        <f t="shared" si="2"/>
        <v>5825906</v>
      </c>
      <c r="Z10" s="35">
        <f t="shared" si="2"/>
        <v>6192537</v>
      </c>
      <c r="AA10" s="35">
        <f t="shared" si="2"/>
        <v>6508317</v>
      </c>
      <c r="AB10" s="35">
        <f t="shared" si="2"/>
        <v>6888280</v>
      </c>
      <c r="AC10" s="35">
        <f t="shared" si="2"/>
        <v>7380283</v>
      </c>
      <c r="AD10" s="35">
        <f aca="true" t="shared" si="3" ref="AD10:AX10">SUM(AD12:AD43)</f>
        <v>7386769609.530001</v>
      </c>
      <c r="AE10" s="35">
        <f t="shared" si="3"/>
        <v>7380281738</v>
      </c>
      <c r="AF10" s="35">
        <f t="shared" si="3"/>
        <v>7380281.738000001</v>
      </c>
      <c r="AG10" s="35">
        <f t="shared" si="3"/>
        <v>7970072299</v>
      </c>
      <c r="AH10" s="35">
        <f t="shared" si="3"/>
        <v>7970072.299000001</v>
      </c>
      <c r="AI10" s="35">
        <f t="shared" si="3"/>
        <v>8486725629</v>
      </c>
      <c r="AJ10" s="35">
        <f t="shared" si="3"/>
        <v>8486725.628999999</v>
      </c>
      <c r="AK10" s="35">
        <f t="shared" si="3"/>
        <v>8796944155</v>
      </c>
      <c r="AL10" s="35">
        <f t="shared" si="3"/>
        <v>8796944.155</v>
      </c>
      <c r="AM10" s="35">
        <f t="shared" si="3"/>
        <v>8871421850</v>
      </c>
      <c r="AN10" s="35">
        <f t="shared" si="3"/>
        <v>8871421.850000003</v>
      </c>
      <c r="AO10" s="35">
        <f>SUM(AO12:AO39)</f>
        <v>9921461909.02</v>
      </c>
      <c r="AP10" s="35">
        <f t="shared" si="3"/>
        <v>9921461.90902</v>
      </c>
      <c r="AQ10" s="35">
        <f t="shared" si="3"/>
        <v>10748933765</v>
      </c>
      <c r="AR10" s="35">
        <f t="shared" si="3"/>
        <v>10748933.765000002</v>
      </c>
      <c r="AS10" s="35">
        <f t="shared" si="3"/>
        <v>11647897804.179996</v>
      </c>
      <c r="AT10" s="35">
        <f t="shared" si="3"/>
        <v>11647897.804180002</v>
      </c>
      <c r="AU10" s="35">
        <f t="shared" si="3"/>
        <v>12951089862.100002</v>
      </c>
      <c r="AV10" s="35">
        <f t="shared" si="3"/>
        <v>12951089.862099998</v>
      </c>
      <c r="AW10" s="35">
        <f t="shared" si="3"/>
        <v>13104083618.929998</v>
      </c>
      <c r="AX10" s="35">
        <f t="shared" si="3"/>
        <v>13104083.618929997</v>
      </c>
      <c r="AY10" s="35">
        <f>SUM(AY12:AY43)</f>
        <v>13367359070.638998</v>
      </c>
      <c r="AZ10" s="35">
        <f>SUM(AZ12:AZ43)</f>
        <v>13367359.070639001</v>
      </c>
    </row>
    <row r="11" spans="2:41" ht="15.7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176"/>
      <c r="M11" s="177"/>
      <c r="O11" s="14"/>
      <c r="R11" s="14"/>
      <c r="S11" s="14"/>
      <c r="T11" s="1"/>
      <c r="U11" s="1"/>
      <c r="V11" s="1"/>
      <c r="W11" s="30"/>
      <c r="X11" s="36"/>
      <c r="Y11" s="36"/>
      <c r="Z11" s="36"/>
      <c r="AA11" s="36"/>
      <c r="AB11" s="36"/>
      <c r="AC11" s="36"/>
      <c r="AD11" s="36">
        <f>AD10-AE10</f>
        <v>6487871.530000687</v>
      </c>
      <c r="AO11" s="198"/>
    </row>
    <row r="12" spans="1:52" ht="15.75">
      <c r="A12" s="1" t="s">
        <v>6</v>
      </c>
      <c r="B12" s="80">
        <v>86729</v>
      </c>
      <c r="C12" s="80">
        <v>89967</v>
      </c>
      <c r="D12" s="80">
        <v>96068</v>
      </c>
      <c r="E12" s="80">
        <v>97244</v>
      </c>
      <c r="F12" s="80">
        <v>101974.58733</v>
      </c>
      <c r="G12" s="80">
        <v>121410</v>
      </c>
      <c r="H12" s="80">
        <v>139975.17521000002</v>
      </c>
      <c r="I12" s="80">
        <v>141562.17727000001</v>
      </c>
      <c r="J12" s="80">
        <v>146789.86890999996</v>
      </c>
      <c r="K12" s="80">
        <v>145363.37399999998</v>
      </c>
      <c r="L12" s="243">
        <f>(K12-J12)*100/J12</f>
        <v>-0.9717938442159072</v>
      </c>
      <c r="M12" s="55">
        <f>(K12-AC12)*100/AC12</f>
        <v>64.93450200830551</v>
      </c>
      <c r="N12" s="14">
        <v>40216</v>
      </c>
      <c r="O12" s="14">
        <v>44130</v>
      </c>
      <c r="P12" s="14">
        <v>43732</v>
      </c>
      <c r="Q12" s="14">
        <v>46910</v>
      </c>
      <c r="R12" s="14">
        <v>50090</v>
      </c>
      <c r="S12" s="14">
        <v>52425</v>
      </c>
      <c r="T12" s="14">
        <v>56429</v>
      </c>
      <c r="U12" s="14">
        <v>67849</v>
      </c>
      <c r="V12" s="14">
        <v>61522</v>
      </c>
      <c r="W12" s="36">
        <v>65486</v>
      </c>
      <c r="X12" s="36">
        <v>69064</v>
      </c>
      <c r="Y12" s="36">
        <v>73297</v>
      </c>
      <c r="Z12" s="36">
        <v>77600</v>
      </c>
      <c r="AA12" s="36">
        <v>78292</v>
      </c>
      <c r="AB12" s="36">
        <v>84288</v>
      </c>
      <c r="AC12" s="36">
        <v>88134</v>
      </c>
      <c r="AD12" s="36">
        <v>88733764.05000001</v>
      </c>
      <c r="AE12">
        <v>88133764</v>
      </c>
      <c r="AF12" s="3">
        <f>AE12/1000</f>
        <v>88133.764</v>
      </c>
      <c r="AG12" s="3">
        <v>86728743</v>
      </c>
      <c r="AH12" s="3">
        <f>AG12/1000</f>
        <v>86728.743</v>
      </c>
      <c r="AI12" s="3">
        <v>89967487</v>
      </c>
      <c r="AJ12" s="3">
        <f>AI12/1000</f>
        <v>89967.487</v>
      </c>
      <c r="AK12" s="3">
        <v>96068479</v>
      </c>
      <c r="AL12" s="3">
        <f>AK12/1000</f>
        <v>96068.479</v>
      </c>
      <c r="AM12" s="3">
        <v>97244376</v>
      </c>
      <c r="AN12" s="3">
        <f>AM12/1000</f>
        <v>97244.376</v>
      </c>
      <c r="AO12" s="59">
        <v>101974587.33</v>
      </c>
      <c r="AP12" s="3">
        <f>AO12/1000</f>
        <v>101974.58733</v>
      </c>
      <c r="AQ12" s="3">
        <v>121409731</v>
      </c>
      <c r="AR12" s="3">
        <f>AQ12/1000</f>
        <v>121409.731</v>
      </c>
      <c r="AS12" s="3">
        <v>139975175.21</v>
      </c>
      <c r="AT12" s="3">
        <f>AS12/1000</f>
        <v>139975.17521000002</v>
      </c>
      <c r="AU12" s="3">
        <v>141562177.27</v>
      </c>
      <c r="AV12" s="3">
        <f>AU12/1000</f>
        <v>141562.17727000001</v>
      </c>
      <c r="AW12" s="3">
        <v>146789868.90999997</v>
      </c>
      <c r="AX12" s="3">
        <f>AW12/1000</f>
        <v>146789.86890999996</v>
      </c>
      <c r="AY12" s="3">
        <v>145363373.99999997</v>
      </c>
      <c r="AZ12" s="3">
        <f>AY12/1000</f>
        <v>145363.37399999998</v>
      </c>
    </row>
    <row r="13" spans="1:52" ht="15.75">
      <c r="A13" s="1" t="s">
        <v>7</v>
      </c>
      <c r="B13" s="80">
        <v>681194</v>
      </c>
      <c r="C13" s="80">
        <v>712514</v>
      </c>
      <c r="D13" s="80">
        <v>708910</v>
      </c>
      <c r="E13" s="80">
        <v>742213</v>
      </c>
      <c r="F13" s="80">
        <v>799110.91786</v>
      </c>
      <c r="G13" s="80">
        <v>859943</v>
      </c>
      <c r="H13" s="80">
        <v>943786.00199</v>
      </c>
      <c r="I13" s="80">
        <v>988180.42906</v>
      </c>
      <c r="J13" s="80">
        <v>1093873.5094699997</v>
      </c>
      <c r="K13" s="80">
        <v>1103768.2330589998</v>
      </c>
      <c r="L13" s="243">
        <f>(K13-J13)*100/J13</f>
        <v>0.9045582970369418</v>
      </c>
      <c r="M13" s="55">
        <f>(K13-AC13)*100/AC13</f>
        <v>78.08486832973267</v>
      </c>
      <c r="N13" s="14">
        <v>245797</v>
      </c>
      <c r="O13" s="14">
        <v>266658</v>
      </c>
      <c r="P13" s="14">
        <v>301791</v>
      </c>
      <c r="Q13" s="14">
        <v>317808</v>
      </c>
      <c r="R13" s="14">
        <v>337324</v>
      </c>
      <c r="S13" s="14">
        <v>371453</v>
      </c>
      <c r="T13" s="14">
        <v>403374</v>
      </c>
      <c r="U13" s="14">
        <v>405915</v>
      </c>
      <c r="V13" s="14">
        <v>431330</v>
      </c>
      <c r="W13" s="36">
        <v>452325</v>
      </c>
      <c r="X13" s="36">
        <v>491436</v>
      </c>
      <c r="Y13" s="36">
        <v>507045</v>
      </c>
      <c r="Z13" s="36">
        <v>535596</v>
      </c>
      <c r="AA13" s="36">
        <v>550200</v>
      </c>
      <c r="AB13" s="36">
        <v>564022</v>
      </c>
      <c r="AC13" s="36">
        <v>619799</v>
      </c>
      <c r="AD13" s="36">
        <v>619799326.57</v>
      </c>
      <c r="AE13">
        <v>619799327</v>
      </c>
      <c r="AF13" s="3">
        <f>AE13/1000</f>
        <v>619799.327</v>
      </c>
      <c r="AG13" s="3">
        <v>681193515</v>
      </c>
      <c r="AH13" s="3">
        <f>AG13/1000</f>
        <v>681193.515</v>
      </c>
      <c r="AI13" s="3">
        <v>712513879</v>
      </c>
      <c r="AJ13" s="3">
        <f>AI13/1000</f>
        <v>712513.879</v>
      </c>
      <c r="AK13" s="3">
        <v>708909564</v>
      </c>
      <c r="AL13" s="3">
        <f>AK13/1000</f>
        <v>708909.564</v>
      </c>
      <c r="AM13" s="3">
        <v>742213137</v>
      </c>
      <c r="AN13" s="3">
        <f>AM13/1000</f>
        <v>742213.137</v>
      </c>
      <c r="AO13" s="59">
        <v>799110917.86</v>
      </c>
      <c r="AP13" s="3">
        <f>AO13/1000</f>
        <v>799110.91786</v>
      </c>
      <c r="AQ13" s="3">
        <v>859943273</v>
      </c>
      <c r="AR13" s="3">
        <f>AQ13/1000</f>
        <v>859943.273</v>
      </c>
      <c r="AS13" s="3">
        <v>943786001.99</v>
      </c>
      <c r="AT13" s="3">
        <f>AS13/1000</f>
        <v>943786.00199</v>
      </c>
      <c r="AU13" s="3">
        <v>988180429.06</v>
      </c>
      <c r="AV13" s="3">
        <f>AU13/1000</f>
        <v>988180.42906</v>
      </c>
      <c r="AW13" s="3">
        <v>1093873509.4699998</v>
      </c>
      <c r="AX13" s="3">
        <f>AW13/1000</f>
        <v>1093873.5094699997</v>
      </c>
      <c r="AY13" s="3">
        <v>1103768233.0589998</v>
      </c>
      <c r="AZ13" s="3">
        <f>AY13/1000</f>
        <v>1103768.2330589998</v>
      </c>
    </row>
    <row r="14" spans="1:52" ht="15.75">
      <c r="A14" s="1" t="s">
        <v>8</v>
      </c>
      <c r="B14" s="80">
        <v>997820</v>
      </c>
      <c r="C14" s="80">
        <v>1001470</v>
      </c>
      <c r="D14" s="80">
        <v>1076059</v>
      </c>
      <c r="E14" s="80">
        <v>957892</v>
      </c>
      <c r="F14" s="80">
        <v>1045496.8239099998</v>
      </c>
      <c r="G14" s="80">
        <v>1105804</v>
      </c>
      <c r="H14" s="80">
        <v>1252925.98404</v>
      </c>
      <c r="I14" s="80">
        <v>1392830.1802500002</v>
      </c>
      <c r="J14" s="80">
        <v>1386803.7512599998</v>
      </c>
      <c r="K14" s="80">
        <v>1433277.01484</v>
      </c>
      <c r="L14" s="243">
        <f>(K14-J14)*100/J14</f>
        <v>3.3511059901428975</v>
      </c>
      <c r="M14" s="55">
        <f>(K14-AC14)*100/AC14</f>
        <v>55.56524118154635</v>
      </c>
      <c r="N14" s="14">
        <v>402602</v>
      </c>
      <c r="O14" s="14">
        <v>431547</v>
      </c>
      <c r="P14" s="14">
        <v>453401</v>
      </c>
      <c r="Q14" s="14">
        <v>479472</v>
      </c>
      <c r="R14" s="14">
        <v>533182</v>
      </c>
      <c r="S14" s="14">
        <v>565707</v>
      </c>
      <c r="T14" s="14">
        <v>605864</v>
      </c>
      <c r="U14" s="14">
        <v>621887</v>
      </c>
      <c r="V14" s="14">
        <v>677728</v>
      </c>
      <c r="W14" s="36">
        <v>684951</v>
      </c>
      <c r="X14" s="36">
        <v>698404</v>
      </c>
      <c r="Y14" s="36">
        <v>733243</v>
      </c>
      <c r="Z14" s="36">
        <v>762726</v>
      </c>
      <c r="AA14" s="36">
        <v>830744</v>
      </c>
      <c r="AB14" s="36">
        <v>888189</v>
      </c>
      <c r="AC14" s="36">
        <v>921335</v>
      </c>
      <c r="AD14" s="312">
        <v>921352844.0799999</v>
      </c>
      <c r="AE14">
        <v>921334959</v>
      </c>
      <c r="AF14" s="3">
        <f>AE14/1000</f>
        <v>921334.959</v>
      </c>
      <c r="AG14" s="3">
        <v>997820032</v>
      </c>
      <c r="AH14" s="3">
        <f>AG14/1000</f>
        <v>997820.032</v>
      </c>
      <c r="AI14" s="3">
        <v>1001469957</v>
      </c>
      <c r="AJ14" s="3">
        <f>AI14/1000</f>
        <v>1001469.957</v>
      </c>
      <c r="AK14" s="3">
        <v>1076059114</v>
      </c>
      <c r="AL14" s="3">
        <f>AK14/1000</f>
        <v>1076059.114</v>
      </c>
      <c r="AM14" s="3">
        <v>957891794</v>
      </c>
      <c r="AN14" s="3">
        <f>AM14/1000</f>
        <v>957891.794</v>
      </c>
      <c r="AO14" s="59">
        <v>1045496823.9099998</v>
      </c>
      <c r="AP14" s="3">
        <f>AO14/1000</f>
        <v>1045496.8239099998</v>
      </c>
      <c r="AQ14" s="3">
        <v>1105804209</v>
      </c>
      <c r="AR14" s="3">
        <f>AQ14/1000</f>
        <v>1105804.209</v>
      </c>
      <c r="AS14" s="3">
        <v>1252925984.04</v>
      </c>
      <c r="AT14" s="3">
        <f>AS14/1000</f>
        <v>1252925.98404</v>
      </c>
      <c r="AU14" s="3">
        <v>1392830180.2500002</v>
      </c>
      <c r="AV14" s="3">
        <f>AU14/1000</f>
        <v>1392830.1802500002</v>
      </c>
      <c r="AW14" s="3">
        <v>1386803751.2599998</v>
      </c>
      <c r="AX14" s="3">
        <f>AW14/1000</f>
        <v>1386803.7512599998</v>
      </c>
      <c r="AY14" s="3">
        <v>1433277014.8400002</v>
      </c>
      <c r="AZ14" s="3">
        <f>AY14/1000</f>
        <v>1433277.01484</v>
      </c>
    </row>
    <row r="15" spans="1:52" ht="15.75">
      <c r="A15" s="1" t="s">
        <v>9</v>
      </c>
      <c r="B15" s="80">
        <v>1017545</v>
      </c>
      <c r="C15" s="80">
        <v>1117149</v>
      </c>
      <c r="D15" s="80">
        <v>1102163</v>
      </c>
      <c r="E15" s="80">
        <v>1073412</v>
      </c>
      <c r="F15" s="80">
        <v>1148335.1986699998</v>
      </c>
      <c r="G15" s="80">
        <v>1239844</v>
      </c>
      <c r="H15" s="80">
        <v>1404302.40856</v>
      </c>
      <c r="I15" s="80">
        <v>1493312.48946</v>
      </c>
      <c r="J15" s="80">
        <v>1459834.90807</v>
      </c>
      <c r="K15" s="80">
        <v>1526306.81025</v>
      </c>
      <c r="L15" s="243">
        <f>(K15-J15)*100/J15</f>
        <v>4.553384893904239</v>
      </c>
      <c r="M15" s="55">
        <f>(K15-AC15)*100/AC15</f>
        <v>69.84989336438834</v>
      </c>
      <c r="N15" s="14">
        <v>372872</v>
      </c>
      <c r="O15" s="14">
        <v>393270</v>
      </c>
      <c r="P15" s="14">
        <v>420581</v>
      </c>
      <c r="Q15" s="14">
        <v>440904</v>
      </c>
      <c r="R15" s="14">
        <v>494175</v>
      </c>
      <c r="S15" s="14">
        <v>553595</v>
      </c>
      <c r="T15" s="14">
        <v>562784</v>
      </c>
      <c r="U15" s="14">
        <v>586465</v>
      </c>
      <c r="V15" s="14">
        <v>617863</v>
      </c>
      <c r="W15" s="36">
        <v>638189</v>
      </c>
      <c r="X15" s="36">
        <v>704416</v>
      </c>
      <c r="Y15" s="36">
        <v>709758</v>
      </c>
      <c r="Z15" s="36">
        <v>760873</v>
      </c>
      <c r="AA15" s="36">
        <v>819191</v>
      </c>
      <c r="AB15" s="36">
        <v>849132</v>
      </c>
      <c r="AC15" s="36">
        <v>898621</v>
      </c>
      <c r="AD15" s="312">
        <v>898606186.57</v>
      </c>
      <c r="AE15">
        <v>898620977</v>
      </c>
      <c r="AF15" s="3">
        <f>AE15/1000</f>
        <v>898620.977</v>
      </c>
      <c r="AG15" s="3">
        <v>1017544972</v>
      </c>
      <c r="AH15" s="3">
        <f>AG15/1000</f>
        <v>1017544.972</v>
      </c>
      <c r="AI15" s="3">
        <v>1117148975</v>
      </c>
      <c r="AJ15" s="3">
        <f>AI15/1000</f>
        <v>1117148.975</v>
      </c>
      <c r="AK15" s="3">
        <v>1102162883</v>
      </c>
      <c r="AL15" s="3">
        <f>AK15/1000</f>
        <v>1102162.883</v>
      </c>
      <c r="AM15" s="3">
        <v>1073411984</v>
      </c>
      <c r="AN15" s="3">
        <f>AM15/1000</f>
        <v>1073411.984</v>
      </c>
      <c r="AO15" s="59">
        <v>1148335198.6699998</v>
      </c>
      <c r="AP15" s="3">
        <f>AO15/1000</f>
        <v>1148335.1986699998</v>
      </c>
      <c r="AQ15" s="3">
        <v>1239843519</v>
      </c>
      <c r="AR15" s="3">
        <f>AQ15/1000</f>
        <v>1239843.519</v>
      </c>
      <c r="AS15" s="3">
        <v>1404302408.56</v>
      </c>
      <c r="AT15" s="3">
        <f>AS15/1000</f>
        <v>1404302.40856</v>
      </c>
      <c r="AU15" s="3">
        <v>1493312489.46</v>
      </c>
      <c r="AV15" s="3">
        <f>AU15/1000</f>
        <v>1493312.48946</v>
      </c>
      <c r="AW15" s="3">
        <v>1459834908.07</v>
      </c>
      <c r="AX15" s="3">
        <f>AW15/1000</f>
        <v>1459834.90807</v>
      </c>
      <c r="AY15" s="3">
        <v>1526306810.25</v>
      </c>
      <c r="AZ15" s="3">
        <f>AY15/1000</f>
        <v>1526306.81025</v>
      </c>
    </row>
    <row r="16" spans="1:52" ht="15.75">
      <c r="A16" s="1" t="s">
        <v>10</v>
      </c>
      <c r="B16" s="80">
        <v>125232</v>
      </c>
      <c r="C16" s="80">
        <v>137158</v>
      </c>
      <c r="D16" s="80">
        <v>184379</v>
      </c>
      <c r="E16" s="80">
        <v>160638</v>
      </c>
      <c r="F16" s="80">
        <v>177654.67630000005</v>
      </c>
      <c r="G16" s="80">
        <v>191961</v>
      </c>
      <c r="H16" s="80">
        <v>199417.17450000002</v>
      </c>
      <c r="I16" s="80">
        <v>233740.19377999994</v>
      </c>
      <c r="J16" s="80">
        <v>238818.71194</v>
      </c>
      <c r="K16" s="80">
        <v>237755.61757</v>
      </c>
      <c r="L16" s="243">
        <f>(K16-J16)*100/J16</f>
        <v>-0.4451470160625832</v>
      </c>
      <c r="M16" s="55">
        <f>(K16-AC16)*100/AC16</f>
        <v>91.16798067862024</v>
      </c>
      <c r="N16" s="14">
        <v>30406</v>
      </c>
      <c r="O16" s="14">
        <v>36206</v>
      </c>
      <c r="P16" s="14">
        <v>35373</v>
      </c>
      <c r="Q16" s="14">
        <v>44557</v>
      </c>
      <c r="R16" s="14">
        <v>48491</v>
      </c>
      <c r="S16" s="14">
        <v>54724</v>
      </c>
      <c r="T16" s="14">
        <v>71576</v>
      </c>
      <c r="U16" s="14">
        <v>68097</v>
      </c>
      <c r="V16" s="14">
        <v>69997</v>
      </c>
      <c r="W16" s="36">
        <v>92305</v>
      </c>
      <c r="X16" s="36">
        <v>83839</v>
      </c>
      <c r="Y16" s="36">
        <v>95631</v>
      </c>
      <c r="Z16" s="36">
        <v>100862</v>
      </c>
      <c r="AA16" s="36">
        <v>98672</v>
      </c>
      <c r="AB16" s="36">
        <v>110946</v>
      </c>
      <c r="AC16" s="36">
        <v>124370</v>
      </c>
      <c r="AD16" s="36">
        <v>124369630.11</v>
      </c>
      <c r="AE16">
        <v>124369630</v>
      </c>
      <c r="AF16" s="3">
        <f>AE16/1000</f>
        <v>124369.63</v>
      </c>
      <c r="AG16" s="3">
        <v>125231801</v>
      </c>
      <c r="AH16" s="3">
        <f>AG16/1000</f>
        <v>125231.801</v>
      </c>
      <c r="AI16" s="3">
        <v>137157725</v>
      </c>
      <c r="AJ16" s="3">
        <f>AI16/1000</f>
        <v>137157.725</v>
      </c>
      <c r="AK16" s="3">
        <v>184378688</v>
      </c>
      <c r="AL16" s="3">
        <f>AK16/1000</f>
        <v>184378.688</v>
      </c>
      <c r="AM16" s="3">
        <v>160637666</v>
      </c>
      <c r="AN16" s="3">
        <f>AM16/1000</f>
        <v>160637.666</v>
      </c>
      <c r="AO16" s="59">
        <v>177654676.30000004</v>
      </c>
      <c r="AP16" s="3">
        <f>AO16/1000</f>
        <v>177654.67630000005</v>
      </c>
      <c r="AQ16" s="3">
        <v>191960911</v>
      </c>
      <c r="AR16" s="3">
        <f>AQ16/1000</f>
        <v>191960.911</v>
      </c>
      <c r="AS16" s="3">
        <v>199417174.50000003</v>
      </c>
      <c r="AT16" s="3">
        <f>AS16/1000</f>
        <v>199417.17450000002</v>
      </c>
      <c r="AU16" s="3">
        <v>233740193.77999994</v>
      </c>
      <c r="AV16" s="3">
        <f>AU16/1000</f>
        <v>233740.19377999994</v>
      </c>
      <c r="AW16" s="3">
        <v>238818711.94</v>
      </c>
      <c r="AX16" s="3">
        <f>AW16/1000</f>
        <v>238818.71194</v>
      </c>
      <c r="AY16" s="3">
        <v>237755617.57</v>
      </c>
      <c r="AZ16" s="3">
        <f>AY16/1000</f>
        <v>237755.61757</v>
      </c>
    </row>
    <row r="17" spans="2:41" ht="15.75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243"/>
      <c r="M17" s="243"/>
      <c r="N17" s="14"/>
      <c r="P17" s="14"/>
      <c r="Q17" s="14"/>
      <c r="R17" s="14"/>
      <c r="S17" s="14"/>
      <c r="T17" s="14"/>
      <c r="U17" s="14"/>
      <c r="V17" s="14"/>
      <c r="W17" s="36"/>
      <c r="X17" s="36"/>
      <c r="Y17" s="36"/>
      <c r="Z17" s="36"/>
      <c r="AA17" s="36"/>
      <c r="AB17" s="36"/>
      <c r="AC17" s="36"/>
      <c r="AD17" s="36"/>
      <c r="AO17" s="59"/>
    </row>
    <row r="18" spans="1:52" ht="15.75">
      <c r="A18" s="1" t="s">
        <v>11</v>
      </c>
      <c r="B18" s="80">
        <v>41718</v>
      </c>
      <c r="C18" s="80">
        <v>49947</v>
      </c>
      <c r="D18" s="80">
        <v>47195</v>
      </c>
      <c r="E18" s="80">
        <v>49083</v>
      </c>
      <c r="F18" s="80">
        <v>50481.52392</v>
      </c>
      <c r="G18" s="80">
        <v>57818</v>
      </c>
      <c r="H18" s="80">
        <v>68485.72539</v>
      </c>
      <c r="I18" s="80">
        <v>69196.18947</v>
      </c>
      <c r="J18" s="80">
        <v>72502.50183</v>
      </c>
      <c r="K18" s="80">
        <v>84147.87269000002</v>
      </c>
      <c r="L18" s="243">
        <f>(K18-J18)*100/J18</f>
        <v>16.06202622815068</v>
      </c>
      <c r="M18" s="55">
        <f>(K18-AC18)*100/AC18</f>
        <v>104.94379475876184</v>
      </c>
      <c r="N18" s="14">
        <v>14046</v>
      </c>
      <c r="O18" s="14">
        <v>15132</v>
      </c>
      <c r="P18" s="14">
        <v>16526</v>
      </c>
      <c r="Q18" s="14">
        <v>18279</v>
      </c>
      <c r="R18" s="14">
        <v>20044</v>
      </c>
      <c r="S18" s="14">
        <v>22471</v>
      </c>
      <c r="T18" s="14">
        <v>24085</v>
      </c>
      <c r="U18" s="14">
        <v>25273</v>
      </c>
      <c r="V18" s="14">
        <v>27067</v>
      </c>
      <c r="W18" s="36">
        <v>28462</v>
      </c>
      <c r="X18" s="36">
        <v>32190</v>
      </c>
      <c r="Y18" s="36">
        <v>33055</v>
      </c>
      <c r="Z18" s="36">
        <v>35188</v>
      </c>
      <c r="AA18" s="36">
        <v>37083</v>
      </c>
      <c r="AB18" s="36">
        <v>39270</v>
      </c>
      <c r="AC18" s="36">
        <v>41059</v>
      </c>
      <c r="AD18" s="36">
        <v>41058686.78</v>
      </c>
      <c r="AE18">
        <v>41058687</v>
      </c>
      <c r="AF18" s="3">
        <f>AE18/1000</f>
        <v>41058.687</v>
      </c>
      <c r="AG18" s="3">
        <v>41717949</v>
      </c>
      <c r="AH18" s="3">
        <f>AG18/1000</f>
        <v>41717.949</v>
      </c>
      <c r="AI18" s="3">
        <v>49946742</v>
      </c>
      <c r="AJ18" s="3">
        <f>AI18/1000</f>
        <v>49946.742</v>
      </c>
      <c r="AK18" s="3">
        <v>47195128</v>
      </c>
      <c r="AL18" s="3">
        <f>AK18/1000</f>
        <v>47195.128</v>
      </c>
      <c r="AM18" s="3">
        <v>49083362</v>
      </c>
      <c r="AN18" s="3">
        <f>AM18/1000</f>
        <v>49083.362</v>
      </c>
      <c r="AO18" s="59">
        <v>50481523.92</v>
      </c>
      <c r="AP18" s="3">
        <f>AO18/1000</f>
        <v>50481.52392</v>
      </c>
      <c r="AQ18" s="3">
        <v>57817717</v>
      </c>
      <c r="AR18" s="3">
        <f>AQ18/1000</f>
        <v>57817.717</v>
      </c>
      <c r="AS18" s="3">
        <v>68485725.39</v>
      </c>
      <c r="AT18" s="3">
        <f>AS18/1000</f>
        <v>68485.72539</v>
      </c>
      <c r="AU18" s="3">
        <v>69196189.47</v>
      </c>
      <c r="AV18" s="3">
        <f>AU18/1000</f>
        <v>69196.18947</v>
      </c>
      <c r="AW18" s="3">
        <v>72502501.83</v>
      </c>
      <c r="AX18" s="3">
        <f>AW18/1000</f>
        <v>72502.50183</v>
      </c>
      <c r="AY18" s="3">
        <v>84147872.69000001</v>
      </c>
      <c r="AZ18" s="3">
        <f>AY18/1000</f>
        <v>84147.87269000002</v>
      </c>
    </row>
    <row r="19" spans="1:52" ht="15.75">
      <c r="A19" s="1" t="s">
        <v>12</v>
      </c>
      <c r="B19" s="80">
        <v>241049</v>
      </c>
      <c r="C19" s="80">
        <v>230735</v>
      </c>
      <c r="D19" s="80">
        <v>244433</v>
      </c>
      <c r="E19" s="80">
        <v>269083</v>
      </c>
      <c r="F19" s="80">
        <v>291475.52498000005</v>
      </c>
      <c r="G19" s="80">
        <v>307197</v>
      </c>
      <c r="H19" s="80">
        <v>346232.81181</v>
      </c>
      <c r="I19" s="80">
        <v>401295.56791000004</v>
      </c>
      <c r="J19" s="80">
        <v>419304.13888999994</v>
      </c>
      <c r="K19" s="80">
        <v>380939.569</v>
      </c>
      <c r="L19" s="243">
        <f>(K19-J19)*100/J19</f>
        <v>-9.149580538737412</v>
      </c>
      <c r="M19" s="55">
        <f>(K19-AC19)*100/AC19</f>
        <v>67.53286056064245</v>
      </c>
      <c r="N19" s="14">
        <v>65616</v>
      </c>
      <c r="O19" s="14">
        <v>69747</v>
      </c>
      <c r="P19" s="14">
        <v>76961</v>
      </c>
      <c r="Q19" s="14">
        <v>87045</v>
      </c>
      <c r="R19" s="14">
        <v>97206</v>
      </c>
      <c r="S19" s="14">
        <v>107803</v>
      </c>
      <c r="T19" s="14">
        <v>126615</v>
      </c>
      <c r="U19" s="14">
        <v>136371</v>
      </c>
      <c r="V19" s="14">
        <v>137367</v>
      </c>
      <c r="W19" s="36">
        <v>147099</v>
      </c>
      <c r="X19" s="36">
        <v>165651</v>
      </c>
      <c r="Y19" s="36">
        <v>167603</v>
      </c>
      <c r="Z19" s="36">
        <v>185377</v>
      </c>
      <c r="AA19" s="36">
        <v>197513</v>
      </c>
      <c r="AB19" s="36">
        <v>208721</v>
      </c>
      <c r="AC19" s="36">
        <v>227382</v>
      </c>
      <c r="AD19" s="36">
        <v>227382302.90000004</v>
      </c>
      <c r="AE19">
        <v>227382303</v>
      </c>
      <c r="AF19" s="3">
        <f>AE19/1000</f>
        <v>227382.303</v>
      </c>
      <c r="AG19" s="3">
        <v>241048911</v>
      </c>
      <c r="AH19" s="3">
        <f>AG19/1000</f>
        <v>241048.911</v>
      </c>
      <c r="AI19" s="3">
        <v>230735282</v>
      </c>
      <c r="AJ19" s="3">
        <f>AI19/1000</f>
        <v>230735.282</v>
      </c>
      <c r="AK19" s="3">
        <v>244433303</v>
      </c>
      <c r="AL19" s="3">
        <f>AK19/1000</f>
        <v>244433.303</v>
      </c>
      <c r="AM19" s="3">
        <v>269083450</v>
      </c>
      <c r="AN19" s="3">
        <f>AM19/1000</f>
        <v>269083.45</v>
      </c>
      <c r="AO19" s="59">
        <v>291475524.98</v>
      </c>
      <c r="AP19" s="3">
        <f>AO19/1000</f>
        <v>291475.52498000005</v>
      </c>
      <c r="AQ19" s="3">
        <v>307196526</v>
      </c>
      <c r="AR19" s="3">
        <f>AQ19/1000</f>
        <v>307196.526</v>
      </c>
      <c r="AS19" s="3">
        <v>346232811.81</v>
      </c>
      <c r="AT19" s="3">
        <f>AS19/1000</f>
        <v>346232.81181</v>
      </c>
      <c r="AU19" s="3">
        <v>401295567.91</v>
      </c>
      <c r="AV19" s="3">
        <f>AU19/1000</f>
        <v>401295.56791000004</v>
      </c>
      <c r="AW19" s="3">
        <v>419304138.8899999</v>
      </c>
      <c r="AX19" s="3">
        <f>AW19/1000</f>
        <v>419304.13888999994</v>
      </c>
      <c r="AY19" s="3">
        <v>380939569</v>
      </c>
      <c r="AZ19" s="3">
        <f>AY19/1000</f>
        <v>380939.569</v>
      </c>
    </row>
    <row r="20" spans="1:52" ht="15.75">
      <c r="A20" s="1" t="s">
        <v>13</v>
      </c>
      <c r="B20" s="80">
        <v>132351</v>
      </c>
      <c r="C20" s="80">
        <v>133875</v>
      </c>
      <c r="D20" s="80">
        <v>142445</v>
      </c>
      <c r="E20" s="80">
        <v>146678</v>
      </c>
      <c r="F20" s="80">
        <v>154192.12452</v>
      </c>
      <c r="G20" s="80">
        <v>187210</v>
      </c>
      <c r="H20" s="80">
        <v>218793.45961</v>
      </c>
      <c r="I20" s="80">
        <v>213481.83889999997</v>
      </c>
      <c r="J20" s="80">
        <v>219059.59781999997</v>
      </c>
      <c r="K20" s="80">
        <v>216554.01472</v>
      </c>
      <c r="L20" s="243">
        <f>(K20-J20)*100/J20</f>
        <v>-1.1437906053579006</v>
      </c>
      <c r="M20" s="55">
        <f>(K20-AC20)*100/AC20</f>
        <v>76.74848778576735</v>
      </c>
      <c r="N20" s="14">
        <v>38811</v>
      </c>
      <c r="O20" s="14">
        <v>41544</v>
      </c>
      <c r="P20" s="14">
        <v>45594</v>
      </c>
      <c r="Q20" s="14">
        <v>49203</v>
      </c>
      <c r="R20" s="14">
        <v>55304</v>
      </c>
      <c r="S20" s="14">
        <v>82183</v>
      </c>
      <c r="T20" s="14">
        <v>71413</v>
      </c>
      <c r="U20" s="14">
        <v>75427</v>
      </c>
      <c r="V20" s="14">
        <v>72434</v>
      </c>
      <c r="W20" s="36">
        <v>81203</v>
      </c>
      <c r="X20" s="36">
        <v>92745</v>
      </c>
      <c r="Y20" s="36">
        <v>97954</v>
      </c>
      <c r="Z20" s="36">
        <v>101723</v>
      </c>
      <c r="AA20" s="36">
        <v>106122</v>
      </c>
      <c r="AB20" s="36">
        <v>114794</v>
      </c>
      <c r="AC20" s="36">
        <v>122521</v>
      </c>
      <c r="AD20" s="36">
        <v>122521384.29</v>
      </c>
      <c r="AE20">
        <v>122521384</v>
      </c>
      <c r="AF20" s="3">
        <f>AE20/1000</f>
        <v>122521.384</v>
      </c>
      <c r="AG20" s="3">
        <v>132350788</v>
      </c>
      <c r="AH20" s="3">
        <f>AG20/1000</f>
        <v>132350.788</v>
      </c>
      <c r="AI20" s="3">
        <v>133875046</v>
      </c>
      <c r="AJ20" s="3">
        <f>AI20/1000</f>
        <v>133875.046</v>
      </c>
      <c r="AK20" s="3">
        <v>142444881</v>
      </c>
      <c r="AL20" s="3">
        <f>AK20/1000</f>
        <v>142444.881</v>
      </c>
      <c r="AM20" s="3">
        <v>146677507</v>
      </c>
      <c r="AN20" s="3">
        <f>AM20/1000</f>
        <v>146677.507</v>
      </c>
      <c r="AO20" s="59">
        <v>154192124.52</v>
      </c>
      <c r="AP20" s="3">
        <f>AO20/1000</f>
        <v>154192.12452</v>
      </c>
      <c r="AQ20" s="3">
        <v>187209779</v>
      </c>
      <c r="AR20" s="3">
        <f>AQ20/1000</f>
        <v>187209.779</v>
      </c>
      <c r="AS20" s="3">
        <v>218793459.60999998</v>
      </c>
      <c r="AT20" s="3">
        <f>AS20/1000</f>
        <v>218793.45961</v>
      </c>
      <c r="AU20" s="3">
        <v>213481838.89999998</v>
      </c>
      <c r="AV20" s="3">
        <f>AU20/1000</f>
        <v>213481.83889999997</v>
      </c>
      <c r="AW20" s="3">
        <v>219059597.81999996</v>
      </c>
      <c r="AX20" s="3">
        <f>AW20/1000</f>
        <v>219059.59781999997</v>
      </c>
      <c r="AY20" s="3">
        <v>216554014.72</v>
      </c>
      <c r="AZ20" s="3">
        <f>AY20/1000</f>
        <v>216554.01472</v>
      </c>
    </row>
    <row r="21" spans="1:52" ht="15.75">
      <c r="A21" s="1" t="s">
        <v>14</v>
      </c>
      <c r="B21" s="80">
        <v>183411</v>
      </c>
      <c r="C21" s="80">
        <v>202299</v>
      </c>
      <c r="D21" s="80">
        <v>213472</v>
      </c>
      <c r="E21" s="80">
        <v>246301</v>
      </c>
      <c r="F21" s="80">
        <v>266519.61619000003</v>
      </c>
      <c r="G21" s="80">
        <v>310954</v>
      </c>
      <c r="H21" s="80">
        <v>319089.74153999996</v>
      </c>
      <c r="I21" s="80">
        <v>362593.90364000003</v>
      </c>
      <c r="J21" s="80">
        <v>354611.5615499999</v>
      </c>
      <c r="K21" s="80">
        <v>366198.14156</v>
      </c>
      <c r="L21" s="243">
        <f>(K21-J21)*100/J21</f>
        <v>3.2674005211097423</v>
      </c>
      <c r="M21" s="55">
        <f>(K21-AC21)*100/AC21</f>
        <v>105.21280236259304</v>
      </c>
      <c r="N21" s="14">
        <v>58940</v>
      </c>
      <c r="O21" s="14">
        <v>63642</v>
      </c>
      <c r="P21" s="14">
        <v>74083</v>
      </c>
      <c r="Q21" s="14">
        <v>79906</v>
      </c>
      <c r="R21" s="14">
        <v>91145</v>
      </c>
      <c r="S21" s="14">
        <v>99257</v>
      </c>
      <c r="T21" s="14">
        <v>112191</v>
      </c>
      <c r="U21" s="14">
        <v>127781</v>
      </c>
      <c r="V21" s="14">
        <v>117957</v>
      </c>
      <c r="W21" s="36">
        <v>126190</v>
      </c>
      <c r="X21" s="36">
        <v>146710</v>
      </c>
      <c r="Y21" s="36">
        <v>142478</v>
      </c>
      <c r="Z21" s="36">
        <v>155131</v>
      </c>
      <c r="AA21" s="36">
        <v>158622</v>
      </c>
      <c r="AB21" s="36">
        <v>162290</v>
      </c>
      <c r="AC21" s="36">
        <v>178448</v>
      </c>
      <c r="AD21" s="36">
        <v>178448190.41000003</v>
      </c>
      <c r="AE21">
        <v>178448190</v>
      </c>
      <c r="AF21" s="3">
        <f>AE21/1000</f>
        <v>178448.19</v>
      </c>
      <c r="AG21" s="3">
        <v>183410574</v>
      </c>
      <c r="AH21" s="3">
        <f>AG21/1000</f>
        <v>183410.574</v>
      </c>
      <c r="AI21" s="3">
        <v>202298924</v>
      </c>
      <c r="AJ21" s="3">
        <f>AI21/1000</f>
        <v>202298.924</v>
      </c>
      <c r="AK21" s="3">
        <v>213471620</v>
      </c>
      <c r="AL21" s="3">
        <f>AK21/1000</f>
        <v>213471.62</v>
      </c>
      <c r="AM21" s="3">
        <v>246301055</v>
      </c>
      <c r="AN21" s="3">
        <f>AM21/1000</f>
        <v>246301.055</v>
      </c>
      <c r="AO21" s="59">
        <v>266519616.19000003</v>
      </c>
      <c r="AP21" s="3">
        <f>AO21/1000</f>
        <v>266519.61619000003</v>
      </c>
      <c r="AQ21" s="3">
        <v>310954251</v>
      </c>
      <c r="AR21" s="3">
        <f>AQ21/1000</f>
        <v>310954.251</v>
      </c>
      <c r="AS21" s="3">
        <v>319089741.53999996</v>
      </c>
      <c r="AT21" s="3">
        <f>AS21/1000</f>
        <v>319089.74153999996</v>
      </c>
      <c r="AU21" s="3">
        <v>362593903.64000005</v>
      </c>
      <c r="AV21" s="3">
        <f>AU21/1000</f>
        <v>362593.90364000003</v>
      </c>
      <c r="AW21" s="3">
        <v>354611561.54999995</v>
      </c>
      <c r="AX21" s="3">
        <f>AW21/1000</f>
        <v>354611.5615499999</v>
      </c>
      <c r="AY21" s="3">
        <v>366198141.56</v>
      </c>
      <c r="AZ21" s="3">
        <f>AY21/1000</f>
        <v>366198.14156</v>
      </c>
    </row>
    <row r="22" spans="1:52" ht="15.75">
      <c r="A22" s="1" t="s">
        <v>15</v>
      </c>
      <c r="B22" s="80">
        <v>48463</v>
      </c>
      <c r="C22" s="80">
        <v>44172</v>
      </c>
      <c r="D22" s="80">
        <v>51215</v>
      </c>
      <c r="E22" s="80">
        <v>52920</v>
      </c>
      <c r="F22" s="80">
        <v>50486.41137</v>
      </c>
      <c r="G22" s="80">
        <v>53816</v>
      </c>
      <c r="H22" s="80">
        <v>56957.76811</v>
      </c>
      <c r="I22" s="80">
        <v>68833.27628</v>
      </c>
      <c r="J22" s="80">
        <v>77566.20512</v>
      </c>
      <c r="K22" s="80">
        <v>78213.08192999999</v>
      </c>
      <c r="L22" s="243">
        <f>(K22-J22)*100/J22</f>
        <v>0.8339673302299967</v>
      </c>
      <c r="M22" s="55">
        <f>(K22-AC22)*100/AC22</f>
        <v>94.4873353972398</v>
      </c>
      <c r="N22" s="14">
        <v>19055</v>
      </c>
      <c r="O22" s="14">
        <v>19758</v>
      </c>
      <c r="P22" s="14">
        <v>20386</v>
      </c>
      <c r="Q22" s="14">
        <v>21755</v>
      </c>
      <c r="R22" s="14">
        <v>23686</v>
      </c>
      <c r="S22" s="14">
        <v>26044</v>
      </c>
      <c r="T22" s="14">
        <v>27478</v>
      </c>
      <c r="U22" s="14">
        <v>27194</v>
      </c>
      <c r="V22" s="14">
        <v>27751</v>
      </c>
      <c r="W22" s="36">
        <v>30077</v>
      </c>
      <c r="X22" s="36">
        <v>32284</v>
      </c>
      <c r="Y22" s="36">
        <v>34087</v>
      </c>
      <c r="Z22" s="36">
        <v>39956</v>
      </c>
      <c r="AA22" s="36">
        <v>38844</v>
      </c>
      <c r="AB22" s="36">
        <v>38234</v>
      </c>
      <c r="AC22" s="36">
        <v>40215</v>
      </c>
      <c r="AD22" s="36">
        <v>40214954.47999999</v>
      </c>
      <c r="AE22">
        <v>40214954</v>
      </c>
      <c r="AF22" s="3">
        <f>AE22/1000</f>
        <v>40214.954</v>
      </c>
      <c r="AG22" s="3">
        <v>48463211</v>
      </c>
      <c r="AH22" s="3">
        <f>AG22/1000</f>
        <v>48463.211</v>
      </c>
      <c r="AI22" s="3">
        <v>44171501</v>
      </c>
      <c r="AJ22" s="3">
        <f>AI22/1000</f>
        <v>44171.501</v>
      </c>
      <c r="AK22" s="3">
        <v>51214929</v>
      </c>
      <c r="AL22" s="3">
        <f>AK22/1000</f>
        <v>51214.929</v>
      </c>
      <c r="AM22" s="3">
        <v>52919904</v>
      </c>
      <c r="AN22" s="3">
        <f>AM22/1000</f>
        <v>52919.904</v>
      </c>
      <c r="AO22" s="59">
        <v>50486411.370000005</v>
      </c>
      <c r="AP22" s="3">
        <f>AO22/1000</f>
        <v>50486.41137</v>
      </c>
      <c r="AQ22" s="3">
        <v>53815622</v>
      </c>
      <c r="AR22" s="3">
        <f>AQ22/1000</f>
        <v>53815.622</v>
      </c>
      <c r="AS22" s="3">
        <v>56957768.11</v>
      </c>
      <c r="AT22" s="3">
        <f>AS22/1000</f>
        <v>56957.76811</v>
      </c>
      <c r="AU22" s="3">
        <v>68833276.28</v>
      </c>
      <c r="AV22" s="3">
        <f>AU22/1000</f>
        <v>68833.27628</v>
      </c>
      <c r="AW22" s="3">
        <v>77566205.12</v>
      </c>
      <c r="AX22" s="3">
        <f>AW22/1000</f>
        <v>77566.20512</v>
      </c>
      <c r="AY22" s="3">
        <v>78213081.92999999</v>
      </c>
      <c r="AZ22" s="3">
        <f>AY22/1000</f>
        <v>78213.08192999999</v>
      </c>
    </row>
    <row r="23" spans="2:41" ht="15.75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243"/>
      <c r="M23" s="243"/>
      <c r="N23" s="14"/>
      <c r="P23" s="14"/>
      <c r="Q23" s="14"/>
      <c r="R23" s="14"/>
      <c r="S23" s="14"/>
      <c r="T23" s="14"/>
      <c r="U23" s="14"/>
      <c r="V23" s="14"/>
      <c r="W23" s="36"/>
      <c r="X23" s="36"/>
      <c r="Y23" s="36"/>
      <c r="Z23" s="36"/>
      <c r="AA23" s="36"/>
      <c r="AB23" s="36"/>
      <c r="AC23" s="36"/>
      <c r="AD23" s="36"/>
      <c r="AO23" s="59"/>
    </row>
    <row r="24" spans="1:52" ht="15.75">
      <c r="A24" s="1" t="s">
        <v>16</v>
      </c>
      <c r="B24" s="80">
        <v>349660</v>
      </c>
      <c r="C24" s="80">
        <v>361907</v>
      </c>
      <c r="D24" s="80">
        <v>356238</v>
      </c>
      <c r="E24" s="80">
        <v>395228</v>
      </c>
      <c r="F24" s="80">
        <v>410251.22469</v>
      </c>
      <c r="G24" s="80">
        <v>461150</v>
      </c>
      <c r="H24" s="80">
        <v>492069.73892000003</v>
      </c>
      <c r="I24" s="80">
        <v>580165.1307999999</v>
      </c>
      <c r="J24" s="80">
        <v>601956.8726500002</v>
      </c>
      <c r="K24" s="80">
        <v>587671.7562</v>
      </c>
      <c r="L24" s="243">
        <f>(K24-J24)*100/J24</f>
        <v>-2.373112941980828</v>
      </c>
      <c r="M24" s="55">
        <f>(K24-AC24)*100/AC24</f>
        <v>98.93832046959416</v>
      </c>
      <c r="N24" s="14">
        <v>87248</v>
      </c>
      <c r="O24" s="14">
        <v>92511</v>
      </c>
      <c r="P24" s="14">
        <v>99321</v>
      </c>
      <c r="Q24" s="14">
        <v>114024</v>
      </c>
      <c r="R24" s="14">
        <v>126525</v>
      </c>
      <c r="S24" s="14">
        <v>150355</v>
      </c>
      <c r="T24" s="14">
        <v>162739</v>
      </c>
      <c r="U24" s="14">
        <v>167845</v>
      </c>
      <c r="V24" s="14">
        <v>186522</v>
      </c>
      <c r="W24" s="36">
        <v>184573</v>
      </c>
      <c r="X24" s="36">
        <v>223325</v>
      </c>
      <c r="Y24" s="36">
        <v>221656</v>
      </c>
      <c r="Z24" s="36">
        <v>223304</v>
      </c>
      <c r="AA24" s="36">
        <v>246399</v>
      </c>
      <c r="AB24" s="36">
        <v>253938</v>
      </c>
      <c r="AC24" s="36">
        <v>295404</v>
      </c>
      <c r="AD24" s="312">
        <v>296447502.8</v>
      </c>
      <c r="AE24">
        <v>295403703</v>
      </c>
      <c r="AF24" s="3">
        <f>AE24/1000</f>
        <v>295403.703</v>
      </c>
      <c r="AG24" s="3">
        <v>349659863</v>
      </c>
      <c r="AH24" s="3">
        <f>AG24/1000</f>
        <v>349659.863</v>
      </c>
      <c r="AI24" s="3">
        <v>361906587</v>
      </c>
      <c r="AJ24" s="3">
        <f>AI24/1000</f>
        <v>361906.587</v>
      </c>
      <c r="AK24" s="3">
        <v>356237592</v>
      </c>
      <c r="AL24" s="3">
        <f>AK24/1000</f>
        <v>356237.592</v>
      </c>
      <c r="AM24" s="3">
        <v>395228108</v>
      </c>
      <c r="AN24" s="3">
        <f>AM24/1000</f>
        <v>395228.108</v>
      </c>
      <c r="AO24" s="59">
        <v>410251224.69</v>
      </c>
      <c r="AP24" s="3">
        <f>AO24/1000</f>
        <v>410251.22469</v>
      </c>
      <c r="AQ24" s="3">
        <v>461150391</v>
      </c>
      <c r="AR24" s="3">
        <f>AQ24/1000</f>
        <v>461150.391</v>
      </c>
      <c r="AS24" s="3">
        <v>492069738.92</v>
      </c>
      <c r="AT24" s="3">
        <f>AS24/1000</f>
        <v>492069.73892000003</v>
      </c>
      <c r="AU24" s="3">
        <v>580165130.8</v>
      </c>
      <c r="AV24" s="3">
        <f>AU24/1000</f>
        <v>580165.1307999999</v>
      </c>
      <c r="AW24" s="3">
        <v>601956872.6500001</v>
      </c>
      <c r="AX24" s="3">
        <f>AW24/1000</f>
        <v>601956.8726500002</v>
      </c>
      <c r="AY24" s="3">
        <v>587671756.1999999</v>
      </c>
      <c r="AZ24" s="3">
        <f>AY24/1000</f>
        <v>587671.7562</v>
      </c>
    </row>
    <row r="25" spans="1:52" ht="15.75">
      <c r="A25" s="1" t="s">
        <v>17</v>
      </c>
      <c r="B25" s="80">
        <v>41581</v>
      </c>
      <c r="C25" s="80">
        <v>41953</v>
      </c>
      <c r="D25" s="80">
        <v>44551</v>
      </c>
      <c r="E25" s="80">
        <v>47026</v>
      </c>
      <c r="F25" s="80">
        <v>49046.488419999994</v>
      </c>
      <c r="G25" s="80">
        <v>50415</v>
      </c>
      <c r="H25" s="80">
        <v>53077.647469999996</v>
      </c>
      <c r="I25" s="80">
        <v>59391.908480000006</v>
      </c>
      <c r="J25" s="80">
        <v>68610.90271</v>
      </c>
      <c r="K25" s="80">
        <v>60939.98439</v>
      </c>
      <c r="L25" s="243">
        <f>(K25-J25)*100/J25</f>
        <v>-11.180319769910222</v>
      </c>
      <c r="M25" s="55">
        <f>(K25-AC25)*100/AC25</f>
        <v>56.380672816854414</v>
      </c>
      <c r="N25" s="14">
        <v>16961</v>
      </c>
      <c r="O25" s="14">
        <v>21659</v>
      </c>
      <c r="P25" s="14">
        <v>22194</v>
      </c>
      <c r="Q25" s="14">
        <v>21641</v>
      </c>
      <c r="R25" s="14">
        <v>23604</v>
      </c>
      <c r="S25" s="14">
        <v>25695</v>
      </c>
      <c r="T25" s="14">
        <v>34595</v>
      </c>
      <c r="U25" s="14">
        <v>29138</v>
      </c>
      <c r="V25" s="14">
        <v>29145</v>
      </c>
      <c r="W25" s="36">
        <v>30635</v>
      </c>
      <c r="X25" s="36">
        <v>31887</v>
      </c>
      <c r="Y25" s="36">
        <v>33506</v>
      </c>
      <c r="Z25" s="36">
        <v>34557</v>
      </c>
      <c r="AA25" s="36">
        <v>35762</v>
      </c>
      <c r="AB25" s="36">
        <v>37874</v>
      </c>
      <c r="AC25" s="36">
        <v>38969</v>
      </c>
      <c r="AD25" s="312">
        <v>39003736.620000005</v>
      </c>
      <c r="AE25">
        <v>38968532</v>
      </c>
      <c r="AF25" s="3">
        <f>AE25/1000</f>
        <v>38968.532</v>
      </c>
      <c r="AG25" s="3">
        <v>41580699</v>
      </c>
      <c r="AH25" s="3">
        <f>AG25/1000</f>
        <v>41580.699</v>
      </c>
      <c r="AI25" s="3">
        <v>41953306</v>
      </c>
      <c r="AJ25" s="3">
        <f>AI25/1000</f>
        <v>41953.306</v>
      </c>
      <c r="AK25" s="3">
        <v>44550907</v>
      </c>
      <c r="AL25" s="3">
        <f>AK25/1000</f>
        <v>44550.907</v>
      </c>
      <c r="AM25" s="3">
        <v>47026421</v>
      </c>
      <c r="AN25" s="3">
        <f>AM25/1000</f>
        <v>47026.421</v>
      </c>
      <c r="AO25" s="59">
        <v>49046488.419999994</v>
      </c>
      <c r="AP25" s="3">
        <f>AO25/1000</f>
        <v>49046.488419999994</v>
      </c>
      <c r="AQ25" s="3">
        <v>50414535</v>
      </c>
      <c r="AR25" s="3">
        <f>AQ25/1000</f>
        <v>50414.535</v>
      </c>
      <c r="AS25" s="3">
        <v>53077647.47</v>
      </c>
      <c r="AT25" s="3">
        <f>AS25/1000</f>
        <v>53077.647469999996</v>
      </c>
      <c r="AU25" s="3">
        <v>59391908.480000004</v>
      </c>
      <c r="AV25" s="3">
        <f>AU25/1000</f>
        <v>59391.908480000006</v>
      </c>
      <c r="AW25" s="3">
        <v>68610902.71</v>
      </c>
      <c r="AX25" s="3">
        <f>AW25/1000</f>
        <v>68610.90271</v>
      </c>
      <c r="AY25" s="3">
        <v>60939984.39</v>
      </c>
      <c r="AZ25" s="3">
        <f>AY25/1000</f>
        <v>60939.98439</v>
      </c>
    </row>
    <row r="26" spans="1:52" ht="15.75">
      <c r="A26" s="1" t="s">
        <v>18</v>
      </c>
      <c r="B26" s="80">
        <v>305934</v>
      </c>
      <c r="C26" s="80">
        <v>324907</v>
      </c>
      <c r="D26" s="80">
        <v>376881</v>
      </c>
      <c r="E26" s="80">
        <v>353437</v>
      </c>
      <c r="F26" s="80">
        <v>394552.60656</v>
      </c>
      <c r="G26" s="80">
        <v>466082</v>
      </c>
      <c r="H26" s="80">
        <v>485036.55573</v>
      </c>
      <c r="I26" s="80">
        <v>578289.39531</v>
      </c>
      <c r="J26" s="80">
        <v>601134.4418100001</v>
      </c>
      <c r="K26" s="80">
        <v>595151.8128199999</v>
      </c>
      <c r="L26" s="243">
        <f>(K26-J26)*100/J26</f>
        <v>-0.995223127123891</v>
      </c>
      <c r="M26" s="55">
        <f>(K26-AC26)*100/AC26</f>
        <v>108.9292955858708</v>
      </c>
      <c r="N26" s="14">
        <v>93303</v>
      </c>
      <c r="O26" s="14">
        <v>100389</v>
      </c>
      <c r="P26" s="14">
        <v>109732</v>
      </c>
      <c r="Q26" s="14">
        <v>118746</v>
      </c>
      <c r="R26" s="14">
        <v>130251</v>
      </c>
      <c r="S26" s="14">
        <v>147359</v>
      </c>
      <c r="T26" s="14">
        <v>164684</v>
      </c>
      <c r="U26" s="14">
        <v>171805</v>
      </c>
      <c r="V26" s="14">
        <v>193514</v>
      </c>
      <c r="W26" s="36">
        <v>207522</v>
      </c>
      <c r="X26" s="36">
        <v>219788</v>
      </c>
      <c r="Y26" s="36">
        <v>232610</v>
      </c>
      <c r="Z26" s="36">
        <v>247380</v>
      </c>
      <c r="AA26" s="36">
        <v>257645</v>
      </c>
      <c r="AB26" s="36">
        <v>269878</v>
      </c>
      <c r="AC26" s="36">
        <v>284858</v>
      </c>
      <c r="AD26" s="312">
        <v>284791523.22</v>
      </c>
      <c r="AE26">
        <v>284858060</v>
      </c>
      <c r="AF26" s="3">
        <f>AE26/1000</f>
        <v>284858.06</v>
      </c>
      <c r="AG26" s="3">
        <v>305934323</v>
      </c>
      <c r="AH26" s="3">
        <f>AG26/1000</f>
        <v>305934.323</v>
      </c>
      <c r="AI26" s="3">
        <v>324906965</v>
      </c>
      <c r="AJ26" s="3">
        <f>AI26/1000</f>
        <v>324906.965</v>
      </c>
      <c r="AK26" s="3">
        <v>376880895</v>
      </c>
      <c r="AL26" s="3">
        <f>AK26/1000</f>
        <v>376880.895</v>
      </c>
      <c r="AM26" s="3">
        <v>353436943</v>
      </c>
      <c r="AN26" s="3">
        <f>AM26/1000</f>
        <v>353436.943</v>
      </c>
      <c r="AO26" s="59">
        <v>394552606.56</v>
      </c>
      <c r="AP26" s="3">
        <f>AO26/1000</f>
        <v>394552.60656</v>
      </c>
      <c r="AQ26" s="3">
        <v>466081500</v>
      </c>
      <c r="AR26" s="3">
        <f>AQ26/1000</f>
        <v>466081.5</v>
      </c>
      <c r="AS26" s="3">
        <v>485036555.73</v>
      </c>
      <c r="AT26" s="3">
        <f>AS26/1000</f>
        <v>485036.55573</v>
      </c>
      <c r="AU26" s="3">
        <v>578289395.3100001</v>
      </c>
      <c r="AV26" s="3">
        <f>AU26/1000</f>
        <v>578289.39531</v>
      </c>
      <c r="AW26" s="3">
        <v>601134441.8100001</v>
      </c>
      <c r="AX26" s="3">
        <f>AW26/1000</f>
        <v>601134.4418100001</v>
      </c>
      <c r="AY26" s="3">
        <v>595151812.8199999</v>
      </c>
      <c r="AZ26" s="3">
        <f>AY26/1000</f>
        <v>595151.8128199999</v>
      </c>
    </row>
    <row r="27" spans="1:52" ht="15.75">
      <c r="A27" s="1" t="s">
        <v>19</v>
      </c>
      <c r="B27" s="80">
        <v>475042</v>
      </c>
      <c r="C27" s="80">
        <v>493745</v>
      </c>
      <c r="D27" s="80">
        <v>493284</v>
      </c>
      <c r="E27" s="80">
        <v>560045</v>
      </c>
      <c r="F27" s="80">
        <v>629268.33738</v>
      </c>
      <c r="G27" s="80">
        <v>693251</v>
      </c>
      <c r="H27" s="80">
        <v>739367.01758</v>
      </c>
      <c r="I27" s="80">
        <v>789305.97691</v>
      </c>
      <c r="J27" s="80">
        <v>822487.21238</v>
      </c>
      <c r="K27" s="80">
        <v>838783.8164900001</v>
      </c>
      <c r="L27" s="243">
        <f>(K27-J27)*100/J27</f>
        <v>1.981380848808969</v>
      </c>
      <c r="M27" s="55">
        <f>(K27-AC27)*100/AC27</f>
        <v>115.0683618002708</v>
      </c>
      <c r="N27" s="14">
        <v>108609</v>
      </c>
      <c r="O27" s="14">
        <v>124104</v>
      </c>
      <c r="P27" s="14">
        <v>142534</v>
      </c>
      <c r="Q27" s="14">
        <v>159984</v>
      </c>
      <c r="R27" s="14">
        <v>185947</v>
      </c>
      <c r="S27" s="14">
        <v>212475</v>
      </c>
      <c r="T27" s="14">
        <v>240167</v>
      </c>
      <c r="U27" s="14">
        <v>243113</v>
      </c>
      <c r="V27" s="14">
        <v>259138</v>
      </c>
      <c r="W27" s="36">
        <v>279507</v>
      </c>
      <c r="X27" s="36">
        <v>303793</v>
      </c>
      <c r="Y27" s="36">
        <v>327273</v>
      </c>
      <c r="Z27" s="36">
        <v>331368</v>
      </c>
      <c r="AA27" s="36">
        <v>338686</v>
      </c>
      <c r="AB27" s="36">
        <v>370505</v>
      </c>
      <c r="AC27" s="36">
        <v>390008</v>
      </c>
      <c r="AD27" s="312">
        <v>389950307.21</v>
      </c>
      <c r="AE27">
        <v>390007967</v>
      </c>
      <c r="AF27" s="3">
        <f>AE27/1000</f>
        <v>390007.967</v>
      </c>
      <c r="AG27" s="3">
        <v>475042394</v>
      </c>
      <c r="AH27" s="3">
        <f>AG27/1000</f>
        <v>475042.394</v>
      </c>
      <c r="AI27" s="3">
        <v>493744658</v>
      </c>
      <c r="AJ27" s="3">
        <f>AI27/1000</f>
        <v>493744.658</v>
      </c>
      <c r="AK27" s="3">
        <v>493283944</v>
      </c>
      <c r="AL27" s="3">
        <f>AK27/1000</f>
        <v>493283.944</v>
      </c>
      <c r="AM27" s="3">
        <v>560044608</v>
      </c>
      <c r="AN27" s="3">
        <f>AM27/1000</f>
        <v>560044.608</v>
      </c>
      <c r="AO27" s="59">
        <v>629268337.38</v>
      </c>
      <c r="AP27" s="3">
        <f>AO27/1000</f>
        <v>629268.33738</v>
      </c>
      <c r="AQ27" s="3">
        <v>693250501</v>
      </c>
      <c r="AR27" s="3">
        <f>AQ27/1000</f>
        <v>693250.501</v>
      </c>
      <c r="AS27" s="3">
        <v>739367017.58</v>
      </c>
      <c r="AT27" s="3">
        <f>AS27/1000</f>
        <v>739367.01758</v>
      </c>
      <c r="AU27" s="3">
        <v>789305976.91</v>
      </c>
      <c r="AV27" s="3">
        <f>AU27/1000</f>
        <v>789305.97691</v>
      </c>
      <c r="AW27" s="3">
        <v>822487212.38</v>
      </c>
      <c r="AX27" s="3">
        <f>AW27/1000</f>
        <v>822487.21238</v>
      </c>
      <c r="AY27" s="3">
        <v>838783816.4900001</v>
      </c>
      <c r="AZ27" s="3">
        <f>AY27/1000</f>
        <v>838783.8164900001</v>
      </c>
    </row>
    <row r="28" spans="1:52" ht="15.75">
      <c r="A28" s="1" t="s">
        <v>20</v>
      </c>
      <c r="B28" s="80">
        <v>25269</v>
      </c>
      <c r="C28" s="80">
        <v>28095</v>
      </c>
      <c r="D28" s="80">
        <v>28046</v>
      </c>
      <c r="E28" s="80">
        <v>26864</v>
      </c>
      <c r="F28" s="80">
        <v>29888.9517</v>
      </c>
      <c r="G28" s="80">
        <v>35060</v>
      </c>
      <c r="H28" s="80">
        <v>34580.77463</v>
      </c>
      <c r="I28" s="80">
        <v>34630.54001</v>
      </c>
      <c r="J28" s="80">
        <v>35824.83195</v>
      </c>
      <c r="K28" s="80">
        <v>35657.09832</v>
      </c>
      <c r="L28" s="243">
        <f>(K28-J28)*100/J28</f>
        <v>-0.46820493180290396</v>
      </c>
      <c r="M28" s="55">
        <f>(K28-AC28)*100/AC28</f>
        <v>49.668814304902604</v>
      </c>
      <c r="N28" s="14">
        <v>9077</v>
      </c>
      <c r="O28" s="14">
        <v>10200</v>
      </c>
      <c r="P28" s="14">
        <v>10898</v>
      </c>
      <c r="Q28" s="14">
        <v>11428</v>
      </c>
      <c r="R28" s="14">
        <v>13146</v>
      </c>
      <c r="S28" s="14">
        <v>14534</v>
      </c>
      <c r="T28" s="14">
        <v>15329</v>
      </c>
      <c r="U28" s="14">
        <v>16373</v>
      </c>
      <c r="V28" s="14">
        <v>16530</v>
      </c>
      <c r="W28" s="36">
        <v>18705</v>
      </c>
      <c r="X28" s="36">
        <v>19408</v>
      </c>
      <c r="Y28" s="36">
        <v>20272</v>
      </c>
      <c r="Z28" s="36">
        <v>20487</v>
      </c>
      <c r="AA28" s="36">
        <v>21847</v>
      </c>
      <c r="AB28" s="36">
        <v>23100</v>
      </c>
      <c r="AC28" s="36">
        <v>23824</v>
      </c>
      <c r="AD28" s="312">
        <v>23821509.299999997</v>
      </c>
      <c r="AE28">
        <v>23824378</v>
      </c>
      <c r="AF28" s="3">
        <f>AE28/1000</f>
        <v>23824.378</v>
      </c>
      <c r="AG28" s="3">
        <v>25269456</v>
      </c>
      <c r="AH28" s="3">
        <f>AG28/1000</f>
        <v>25269.456</v>
      </c>
      <c r="AI28" s="3">
        <v>28094780</v>
      </c>
      <c r="AJ28" s="3">
        <f>AI28/1000</f>
        <v>28094.78</v>
      </c>
      <c r="AK28" s="3">
        <v>28046280</v>
      </c>
      <c r="AL28" s="3">
        <f>AK28/1000</f>
        <v>28046.28</v>
      </c>
      <c r="AM28" s="3">
        <v>26863814</v>
      </c>
      <c r="AN28" s="3">
        <f>AM28/1000</f>
        <v>26863.814</v>
      </c>
      <c r="AO28" s="59">
        <v>29888951.700000003</v>
      </c>
      <c r="AP28" s="3">
        <f>AO28/1000</f>
        <v>29888.9517</v>
      </c>
      <c r="AQ28" s="3">
        <v>35059741</v>
      </c>
      <c r="AR28" s="3">
        <f>AQ28/1000</f>
        <v>35059.741</v>
      </c>
      <c r="AS28" s="3">
        <v>34580774.63</v>
      </c>
      <c r="AT28" s="3">
        <f>AS28/1000</f>
        <v>34580.77463</v>
      </c>
      <c r="AU28" s="3">
        <v>34630540.01</v>
      </c>
      <c r="AV28" s="3">
        <f>AU28/1000</f>
        <v>34630.54001</v>
      </c>
      <c r="AW28" s="3">
        <v>35824831.95</v>
      </c>
      <c r="AX28" s="3">
        <f>AW28/1000</f>
        <v>35824.83195</v>
      </c>
      <c r="AY28" s="3">
        <v>35657098.32</v>
      </c>
      <c r="AZ28" s="3">
        <f>AY28/1000</f>
        <v>35657.09832</v>
      </c>
    </row>
    <row r="29" spans="2:41" ht="15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243"/>
      <c r="M29" s="243"/>
      <c r="N29" s="14"/>
      <c r="O29" s="14"/>
      <c r="P29" s="14"/>
      <c r="Q29" s="14"/>
      <c r="R29" s="14"/>
      <c r="S29" s="14"/>
      <c r="T29" s="14"/>
      <c r="U29" s="14"/>
      <c r="V29" s="14"/>
      <c r="W29" s="36"/>
      <c r="X29" s="36"/>
      <c r="Y29" s="36"/>
      <c r="Z29" s="36"/>
      <c r="AA29" s="36"/>
      <c r="AB29" s="36"/>
      <c r="AC29" s="36"/>
      <c r="AD29" s="36"/>
      <c r="AO29" s="59"/>
    </row>
    <row r="30" spans="1:52" ht="15.75">
      <c r="A30" s="1" t="s">
        <v>21</v>
      </c>
      <c r="B30" s="80">
        <v>1461746</v>
      </c>
      <c r="C30" s="80">
        <v>1637600</v>
      </c>
      <c r="D30" s="80">
        <v>1688146</v>
      </c>
      <c r="E30" s="80">
        <v>1717507</v>
      </c>
      <c r="F30" s="80">
        <v>2029516.90726</v>
      </c>
      <c r="G30" s="80">
        <v>2121250</v>
      </c>
      <c r="H30" s="80">
        <v>2214592.73838</v>
      </c>
      <c r="I30" s="80">
        <v>2571633.5724</v>
      </c>
      <c r="J30" s="80">
        <v>2472461.91309</v>
      </c>
      <c r="K30" s="80">
        <v>2669807.71315</v>
      </c>
      <c r="L30" s="243">
        <f>(K30-J30)*100/J30</f>
        <v>7.981752884248239</v>
      </c>
      <c r="M30" s="55">
        <f>(K30-AC30)*100/AC30</f>
        <v>88.15919224911536</v>
      </c>
      <c r="N30" s="14">
        <v>497437</v>
      </c>
      <c r="O30" s="14">
        <v>529557</v>
      </c>
      <c r="P30" s="14">
        <v>649037</v>
      </c>
      <c r="Q30" s="14">
        <v>715716</v>
      </c>
      <c r="R30" s="14">
        <v>755075</v>
      </c>
      <c r="S30" s="14">
        <v>894849</v>
      </c>
      <c r="T30" s="14">
        <v>888191</v>
      </c>
      <c r="U30" s="14">
        <v>866525</v>
      </c>
      <c r="V30" s="14">
        <v>943519</v>
      </c>
      <c r="W30" s="36">
        <v>996233</v>
      </c>
      <c r="X30" s="36">
        <v>1040473</v>
      </c>
      <c r="Y30" s="36">
        <v>1132305</v>
      </c>
      <c r="Z30" s="36">
        <v>1213594</v>
      </c>
      <c r="AA30" s="36">
        <v>1215231</v>
      </c>
      <c r="AB30" s="36">
        <v>1274645</v>
      </c>
      <c r="AC30" s="36">
        <v>1418909</v>
      </c>
      <c r="AD30" s="312">
        <v>1418972230.78</v>
      </c>
      <c r="AE30">
        <v>1418908737</v>
      </c>
      <c r="AF30" s="3">
        <f>AE30/1000</f>
        <v>1418908.737</v>
      </c>
      <c r="AG30" s="3">
        <v>1461746322</v>
      </c>
      <c r="AH30" s="3">
        <f>AG30/1000</f>
        <v>1461746.322</v>
      </c>
      <c r="AI30" s="3">
        <v>1637599508</v>
      </c>
      <c r="AJ30" s="3">
        <f>AI30/1000</f>
        <v>1637599.508</v>
      </c>
      <c r="AK30" s="3">
        <v>1688146434</v>
      </c>
      <c r="AL30" s="3">
        <f>AK30/1000</f>
        <v>1688146.434</v>
      </c>
      <c r="AM30" s="3">
        <v>1717506559</v>
      </c>
      <c r="AN30" s="3">
        <f>AM30/1000</f>
        <v>1717506.559</v>
      </c>
      <c r="AO30" s="59">
        <v>2029516907.26</v>
      </c>
      <c r="AP30" s="3">
        <f>AO30/1000</f>
        <v>2029516.90726</v>
      </c>
      <c r="AQ30" s="3">
        <v>2121249762</v>
      </c>
      <c r="AR30" s="3">
        <f>AQ30/1000</f>
        <v>2121249.762</v>
      </c>
      <c r="AS30" s="3">
        <v>2214592738.38</v>
      </c>
      <c r="AT30" s="3">
        <f>AS30/1000</f>
        <v>2214592.73838</v>
      </c>
      <c r="AU30" s="3">
        <v>2571633572.4</v>
      </c>
      <c r="AV30" s="3">
        <f>AU30/1000</f>
        <v>2571633.5724</v>
      </c>
      <c r="AW30" s="3">
        <v>2472461913.09</v>
      </c>
      <c r="AX30" s="3">
        <f>AW30/1000</f>
        <v>2472461.91309</v>
      </c>
      <c r="AY30" s="3">
        <v>2669807713.15</v>
      </c>
      <c r="AZ30" s="3">
        <f>AY30/1000</f>
        <v>2669807.71315</v>
      </c>
    </row>
    <row r="31" spans="1:52" ht="15.75">
      <c r="A31" s="1" t="s">
        <v>22</v>
      </c>
      <c r="B31" s="80">
        <v>1154200</v>
      </c>
      <c r="C31" s="80">
        <v>1240972</v>
      </c>
      <c r="D31" s="80">
        <v>1292812</v>
      </c>
      <c r="E31" s="80">
        <v>1323694</v>
      </c>
      <c r="F31" s="80">
        <v>1521678.05648</v>
      </c>
      <c r="G31" s="80">
        <v>1636394</v>
      </c>
      <c r="H31" s="80">
        <v>1745650.95563</v>
      </c>
      <c r="I31" s="80">
        <v>1913824.56628</v>
      </c>
      <c r="J31" s="80">
        <v>1906607.4025899998</v>
      </c>
      <c r="K31" s="80">
        <v>1901253.1291299998</v>
      </c>
      <c r="L31" s="243">
        <f>(K31-J31)*100/J31</f>
        <v>-0.2808272669416173</v>
      </c>
      <c r="M31" s="55">
        <f>(K31-AC31)*100/AC31</f>
        <v>74.32997151400228</v>
      </c>
      <c r="N31" s="14">
        <v>403765</v>
      </c>
      <c r="O31" s="14">
        <v>438759</v>
      </c>
      <c r="P31" s="14">
        <v>479793</v>
      </c>
      <c r="Q31" s="14">
        <v>543449</v>
      </c>
      <c r="R31" s="14">
        <v>581601</v>
      </c>
      <c r="S31" s="14">
        <v>637644</v>
      </c>
      <c r="T31" s="14">
        <v>678857</v>
      </c>
      <c r="U31" s="14">
        <v>667315</v>
      </c>
      <c r="V31" s="14">
        <v>716045</v>
      </c>
      <c r="W31" s="36">
        <v>766266</v>
      </c>
      <c r="X31" s="36">
        <v>831351</v>
      </c>
      <c r="Y31" s="36">
        <v>826167</v>
      </c>
      <c r="Z31" s="36">
        <v>862397</v>
      </c>
      <c r="AA31" s="36">
        <v>957375</v>
      </c>
      <c r="AB31" s="36">
        <v>1034618</v>
      </c>
      <c r="AC31" s="36">
        <v>1090606</v>
      </c>
      <c r="AD31" s="312">
        <v>1090542727.52</v>
      </c>
      <c r="AE31">
        <v>1090606222</v>
      </c>
      <c r="AF31" s="3">
        <f>AE31/1000</f>
        <v>1090606.222</v>
      </c>
      <c r="AG31" s="3">
        <v>1154200359</v>
      </c>
      <c r="AH31" s="3">
        <f>AG31/1000</f>
        <v>1154200.359</v>
      </c>
      <c r="AI31" s="3">
        <v>1240971760</v>
      </c>
      <c r="AJ31" s="3">
        <f>AI31/1000</f>
        <v>1240971.76</v>
      </c>
      <c r="AK31" s="3">
        <v>1292811992</v>
      </c>
      <c r="AL31" s="3">
        <f>AK31/1000</f>
        <v>1292811.992</v>
      </c>
      <c r="AM31" s="3">
        <v>1323694410</v>
      </c>
      <c r="AN31" s="3">
        <f>AM31/1000</f>
        <v>1323694.41</v>
      </c>
      <c r="AO31" s="59">
        <v>1521678056.48</v>
      </c>
      <c r="AP31" s="3">
        <f>AO31/1000</f>
        <v>1521678.05648</v>
      </c>
      <c r="AQ31" s="3">
        <v>1636393743</v>
      </c>
      <c r="AR31" s="3">
        <f>AQ31/1000</f>
        <v>1636393.743</v>
      </c>
      <c r="AS31" s="3">
        <v>1745650955.6299999</v>
      </c>
      <c r="AT31" s="3">
        <f>AS31/1000</f>
        <v>1745650.95563</v>
      </c>
      <c r="AU31" s="3">
        <v>1913824566.28</v>
      </c>
      <c r="AV31" s="3">
        <f>AU31/1000</f>
        <v>1913824.56628</v>
      </c>
      <c r="AW31" s="3">
        <v>1906607402.59</v>
      </c>
      <c r="AX31" s="3">
        <f>AW31/1000</f>
        <v>1906607.4025899998</v>
      </c>
      <c r="AY31" s="3">
        <v>1901253129.1299999</v>
      </c>
      <c r="AZ31" s="3">
        <f>AY31/1000</f>
        <v>1901253.1291299998</v>
      </c>
    </row>
    <row r="32" spans="1:52" ht="15.75">
      <c r="A32" s="1" t="s">
        <v>23</v>
      </c>
      <c r="B32" s="80">
        <v>67190</v>
      </c>
      <c r="C32" s="80">
        <v>66235</v>
      </c>
      <c r="D32" s="80">
        <v>81588</v>
      </c>
      <c r="E32" s="80">
        <v>78086</v>
      </c>
      <c r="F32" s="80">
        <v>75602.57595999999</v>
      </c>
      <c r="G32" s="80">
        <v>85967</v>
      </c>
      <c r="H32" s="80">
        <v>101731.29397</v>
      </c>
      <c r="I32" s="80">
        <v>107782.65929</v>
      </c>
      <c r="J32" s="80">
        <v>107373.79258</v>
      </c>
      <c r="K32" s="80">
        <v>103573.90454</v>
      </c>
      <c r="L32" s="243">
        <f>(K32-J32)*100/J32</f>
        <v>-3.53893436069965</v>
      </c>
      <c r="M32" s="55">
        <f>(K32-AC32)*100/AC32</f>
        <v>88.78299894284048</v>
      </c>
      <c r="N32" s="14">
        <v>16679</v>
      </c>
      <c r="O32" s="14">
        <v>19717</v>
      </c>
      <c r="P32" s="14">
        <v>21114</v>
      </c>
      <c r="Q32" s="14">
        <v>22766</v>
      </c>
      <c r="R32" s="14">
        <v>24162</v>
      </c>
      <c r="S32" s="14">
        <v>28581</v>
      </c>
      <c r="T32" s="14">
        <v>37309</v>
      </c>
      <c r="U32" s="14">
        <v>35214</v>
      </c>
      <c r="V32" s="14">
        <v>35226</v>
      </c>
      <c r="W32" s="36">
        <v>37868</v>
      </c>
      <c r="X32" s="36">
        <v>44542</v>
      </c>
      <c r="Y32" s="36">
        <v>42347</v>
      </c>
      <c r="Z32" s="36">
        <v>51200</v>
      </c>
      <c r="AA32" s="36">
        <v>60333</v>
      </c>
      <c r="AB32" s="36">
        <v>57843</v>
      </c>
      <c r="AC32" s="36">
        <v>54864</v>
      </c>
      <c r="AD32" s="312">
        <v>54918206.120000005</v>
      </c>
      <c r="AE32">
        <v>54863644</v>
      </c>
      <c r="AF32" s="3">
        <f>AE32/1000</f>
        <v>54863.644</v>
      </c>
      <c r="AG32" s="3">
        <v>67189601</v>
      </c>
      <c r="AH32" s="3">
        <f>AG32/1000</f>
        <v>67189.601</v>
      </c>
      <c r="AI32" s="3">
        <v>66235213</v>
      </c>
      <c r="AJ32" s="3">
        <f>AI32/1000</f>
        <v>66235.213</v>
      </c>
      <c r="AK32" s="3">
        <v>81587679</v>
      </c>
      <c r="AL32" s="3">
        <f>AK32/1000</f>
        <v>81587.679</v>
      </c>
      <c r="AM32" s="3">
        <v>78086251</v>
      </c>
      <c r="AN32" s="3">
        <f>AM32/1000</f>
        <v>78086.251</v>
      </c>
      <c r="AO32" s="59">
        <v>75602575.96</v>
      </c>
      <c r="AP32" s="3">
        <f>AO32/1000</f>
        <v>75602.57595999999</v>
      </c>
      <c r="AQ32" s="3">
        <v>85967183</v>
      </c>
      <c r="AR32" s="3">
        <f>AQ32/1000</f>
        <v>85967.183</v>
      </c>
      <c r="AS32" s="3">
        <v>101731293.97</v>
      </c>
      <c r="AT32" s="3">
        <f>AS32/1000</f>
        <v>101731.29397</v>
      </c>
      <c r="AU32" s="3">
        <v>107782659.28999999</v>
      </c>
      <c r="AV32" s="3">
        <f>AU32/1000</f>
        <v>107782.65929</v>
      </c>
      <c r="AW32" s="3">
        <v>107373792.58</v>
      </c>
      <c r="AX32" s="3">
        <f>AW32/1000</f>
        <v>107373.79258</v>
      </c>
      <c r="AY32" s="3">
        <v>103573904.54</v>
      </c>
      <c r="AZ32" s="3">
        <f>AY32/1000</f>
        <v>103573.90454</v>
      </c>
    </row>
    <row r="33" spans="1:52" ht="15.75">
      <c r="A33" s="1" t="s">
        <v>24</v>
      </c>
      <c r="B33" s="80">
        <v>135038</v>
      </c>
      <c r="C33" s="80">
        <v>158477</v>
      </c>
      <c r="D33" s="80">
        <v>147632</v>
      </c>
      <c r="E33" s="80">
        <v>152063</v>
      </c>
      <c r="F33" s="80">
        <v>168467.18969</v>
      </c>
      <c r="G33" s="80">
        <v>187534</v>
      </c>
      <c r="H33" s="80">
        <v>192188.97606000002</v>
      </c>
      <c r="I33" s="80">
        <v>216408.82142999995</v>
      </c>
      <c r="J33" s="80">
        <v>230891.71936999998</v>
      </c>
      <c r="K33" s="80">
        <v>220764.03472000003</v>
      </c>
      <c r="L33" s="243">
        <f>(K33-J33)*100/J33</f>
        <v>-4.3863351520937455</v>
      </c>
      <c r="M33" s="55">
        <f>(K33-AC33)*100/AC33</f>
        <v>70.70880029693326</v>
      </c>
      <c r="N33" s="14">
        <v>39635</v>
      </c>
      <c r="O33" s="14">
        <v>42096</v>
      </c>
      <c r="P33" s="14">
        <v>47050</v>
      </c>
      <c r="Q33" s="14">
        <v>51717</v>
      </c>
      <c r="R33" s="14">
        <v>58344</v>
      </c>
      <c r="S33" s="14">
        <v>61969</v>
      </c>
      <c r="T33" s="14">
        <v>70136</v>
      </c>
      <c r="U33" s="14">
        <v>79809</v>
      </c>
      <c r="V33" s="14">
        <v>82925</v>
      </c>
      <c r="W33" s="36">
        <v>83711</v>
      </c>
      <c r="X33" s="36">
        <v>84891</v>
      </c>
      <c r="Y33" s="36">
        <v>92725</v>
      </c>
      <c r="Z33" s="36">
        <v>107660</v>
      </c>
      <c r="AA33" s="36">
        <v>112297</v>
      </c>
      <c r="AB33" s="36">
        <v>119745</v>
      </c>
      <c r="AC33" s="36">
        <v>129322</v>
      </c>
      <c r="AD33" s="312">
        <v>129267486.11</v>
      </c>
      <c r="AE33">
        <v>129322048</v>
      </c>
      <c r="AF33" s="3">
        <f>AE33/1000</f>
        <v>129322.048</v>
      </c>
      <c r="AG33" s="3">
        <v>135037910</v>
      </c>
      <c r="AH33" s="3">
        <f>AG33/1000</f>
        <v>135037.91</v>
      </c>
      <c r="AI33" s="3">
        <v>158477458</v>
      </c>
      <c r="AJ33" s="3">
        <f>AI33/1000</f>
        <v>158477.458</v>
      </c>
      <c r="AK33" s="3">
        <v>147631560</v>
      </c>
      <c r="AL33" s="3">
        <f>AK33/1000</f>
        <v>147631.56</v>
      </c>
      <c r="AM33" s="3">
        <v>152063221</v>
      </c>
      <c r="AN33" s="3">
        <f>AM33/1000</f>
        <v>152063.221</v>
      </c>
      <c r="AO33" s="59">
        <v>168467189.69</v>
      </c>
      <c r="AP33" s="3">
        <f>AO33/1000</f>
        <v>168467.18969</v>
      </c>
      <c r="AQ33" s="3">
        <v>187534332</v>
      </c>
      <c r="AR33" s="3">
        <f>AQ33/1000</f>
        <v>187534.332</v>
      </c>
      <c r="AS33" s="3">
        <v>192188976.06</v>
      </c>
      <c r="AT33" s="3">
        <f>AS33/1000</f>
        <v>192188.97606000002</v>
      </c>
      <c r="AU33" s="3">
        <v>216408821.42999995</v>
      </c>
      <c r="AV33" s="3">
        <f>AU33/1000</f>
        <v>216408.82142999995</v>
      </c>
      <c r="AW33" s="3">
        <v>230891719.36999997</v>
      </c>
      <c r="AX33" s="3">
        <f>AW33/1000</f>
        <v>230891.71936999998</v>
      </c>
      <c r="AY33" s="3">
        <v>220764034.72000003</v>
      </c>
      <c r="AZ33" s="3">
        <f>AY33/1000</f>
        <v>220764.03472000003</v>
      </c>
    </row>
    <row r="34" spans="1:52" ht="15.75">
      <c r="A34" s="1" t="s">
        <v>25</v>
      </c>
      <c r="B34" s="80">
        <v>26872</v>
      </c>
      <c r="C34" s="80">
        <v>27993</v>
      </c>
      <c r="D34" s="80">
        <v>29284</v>
      </c>
      <c r="E34" s="80">
        <v>29776</v>
      </c>
      <c r="F34" s="80">
        <v>32409.21988</v>
      </c>
      <c r="G34" s="80">
        <v>39650</v>
      </c>
      <c r="H34" s="80">
        <v>52883.17431000001</v>
      </c>
      <c r="I34" s="80">
        <v>48033.5572</v>
      </c>
      <c r="J34" s="80">
        <v>51536.65535</v>
      </c>
      <c r="K34" s="80">
        <v>54489.68008</v>
      </c>
      <c r="L34" s="243">
        <f>(K34-J34)*100/J34</f>
        <v>5.729950284792778</v>
      </c>
      <c r="M34" s="55">
        <f>(K34-AC34)*100/AC34</f>
        <v>108.50908843225041</v>
      </c>
      <c r="N34" s="14">
        <v>10996</v>
      </c>
      <c r="O34" s="14">
        <v>11873</v>
      </c>
      <c r="P34" s="14">
        <v>12636</v>
      </c>
      <c r="Q34" s="14">
        <v>13723</v>
      </c>
      <c r="R34" s="14">
        <v>15797</v>
      </c>
      <c r="S34" s="14">
        <v>16903</v>
      </c>
      <c r="T34" s="14">
        <v>18099</v>
      </c>
      <c r="U34" s="14">
        <v>18097</v>
      </c>
      <c r="V34" s="14">
        <v>19414</v>
      </c>
      <c r="W34" s="36">
        <v>20331</v>
      </c>
      <c r="X34" s="36">
        <v>21504</v>
      </c>
      <c r="Y34" s="36">
        <v>24092</v>
      </c>
      <c r="Z34" s="36">
        <v>24917</v>
      </c>
      <c r="AA34" s="36">
        <v>25084</v>
      </c>
      <c r="AB34" s="36">
        <v>25351</v>
      </c>
      <c r="AC34" s="36">
        <v>26133</v>
      </c>
      <c r="AD34" s="36">
        <v>26133445.23</v>
      </c>
      <c r="AE34">
        <v>26133445</v>
      </c>
      <c r="AF34" s="3">
        <f>AE34/1000</f>
        <v>26133.445</v>
      </c>
      <c r="AG34" s="3">
        <v>26871577</v>
      </c>
      <c r="AH34" s="3">
        <f>AG34/1000</f>
        <v>26871.577</v>
      </c>
      <c r="AI34" s="3">
        <v>27993216</v>
      </c>
      <c r="AJ34" s="3">
        <f>AI34/1000</f>
        <v>27993.216</v>
      </c>
      <c r="AK34" s="3">
        <v>29283953</v>
      </c>
      <c r="AL34" s="3">
        <f>AK34/1000</f>
        <v>29283.953</v>
      </c>
      <c r="AM34" s="3">
        <v>29775925</v>
      </c>
      <c r="AN34" s="3">
        <f>AM34/1000</f>
        <v>29775.925</v>
      </c>
      <c r="AO34" s="59">
        <v>32409219.88</v>
      </c>
      <c r="AP34" s="3">
        <f>AO34/1000</f>
        <v>32409.21988</v>
      </c>
      <c r="AQ34" s="3">
        <v>39650451</v>
      </c>
      <c r="AR34" s="3">
        <f>AQ34/1000</f>
        <v>39650.451</v>
      </c>
      <c r="AS34" s="3">
        <v>52883174.31000001</v>
      </c>
      <c r="AT34" s="3">
        <f>AS34/1000</f>
        <v>52883.17431000001</v>
      </c>
      <c r="AU34" s="3">
        <v>48033557.2</v>
      </c>
      <c r="AV34" s="3">
        <f>AU34/1000</f>
        <v>48033.5572</v>
      </c>
      <c r="AW34" s="3">
        <v>51536655.35</v>
      </c>
      <c r="AX34" s="3">
        <f>AW34/1000</f>
        <v>51536.65535</v>
      </c>
      <c r="AY34" s="3">
        <v>54489680.08</v>
      </c>
      <c r="AZ34" s="3">
        <f>AY34/1000</f>
        <v>54489.68008</v>
      </c>
    </row>
    <row r="35" spans="2:41" ht="15.75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243"/>
      <c r="M35" s="243"/>
      <c r="O35" s="14"/>
      <c r="P35" s="14"/>
      <c r="R35" s="14"/>
      <c r="S35" s="14"/>
      <c r="T35" s="14"/>
      <c r="U35" s="14"/>
      <c r="V35" s="14"/>
      <c r="W35" s="36"/>
      <c r="X35" s="36"/>
      <c r="Y35" s="36"/>
      <c r="Z35" s="36"/>
      <c r="AA35" s="36"/>
      <c r="AB35" s="36"/>
      <c r="AC35" s="36"/>
      <c r="AD35" s="36"/>
      <c r="AO35" s="59"/>
    </row>
    <row r="36" spans="1:52" ht="15.75">
      <c r="A36" s="1" t="s">
        <v>26</v>
      </c>
      <c r="B36" s="80">
        <v>39166</v>
      </c>
      <c r="C36" s="80">
        <v>41303</v>
      </c>
      <c r="D36" s="80">
        <v>40821</v>
      </c>
      <c r="E36" s="80">
        <v>37911</v>
      </c>
      <c r="F36" s="80">
        <v>44648.16128</v>
      </c>
      <c r="G36" s="80">
        <v>48224</v>
      </c>
      <c r="H36" s="80">
        <v>49949.806990000005</v>
      </c>
      <c r="I36" s="80">
        <v>64048.57972</v>
      </c>
      <c r="J36" s="80">
        <v>65072.82896</v>
      </c>
      <c r="K36" s="80">
        <v>59275.770820000005</v>
      </c>
      <c r="L36" s="243">
        <f>(K36-J36)*100/J36</f>
        <v>-8.908569417757173</v>
      </c>
      <c r="M36" s="55">
        <f>(K36-AC36)*100/AC36</f>
        <v>76.68416590658441</v>
      </c>
      <c r="N36" s="14">
        <v>13502</v>
      </c>
      <c r="O36" s="14">
        <v>14178</v>
      </c>
      <c r="P36" s="14">
        <v>14839</v>
      </c>
      <c r="Q36" s="14">
        <v>17209</v>
      </c>
      <c r="R36" s="14">
        <v>18468</v>
      </c>
      <c r="S36" s="14">
        <v>22385</v>
      </c>
      <c r="T36" s="14">
        <v>27255</v>
      </c>
      <c r="U36" s="14">
        <v>24286</v>
      </c>
      <c r="V36" s="14">
        <v>23465</v>
      </c>
      <c r="W36" s="36">
        <v>28789</v>
      </c>
      <c r="X36" s="36">
        <v>28246</v>
      </c>
      <c r="Y36" s="36">
        <v>29745</v>
      </c>
      <c r="Z36" s="36">
        <v>35255</v>
      </c>
      <c r="AA36" s="36">
        <v>34685</v>
      </c>
      <c r="AB36" s="36">
        <v>34231</v>
      </c>
      <c r="AC36" s="36">
        <v>33549</v>
      </c>
      <c r="AD36" s="312">
        <v>34553213.81</v>
      </c>
      <c r="AE36">
        <v>33548537</v>
      </c>
      <c r="AF36" s="3">
        <f>AE36/1000</f>
        <v>33548.537</v>
      </c>
      <c r="AG36" s="3">
        <v>39165548</v>
      </c>
      <c r="AH36" s="3">
        <f>AG36/1000</f>
        <v>39165.548</v>
      </c>
      <c r="AI36" s="3">
        <v>41302720</v>
      </c>
      <c r="AJ36" s="3">
        <f>AI36/1000</f>
        <v>41302.72</v>
      </c>
      <c r="AK36" s="3">
        <v>40820872</v>
      </c>
      <c r="AL36" s="3">
        <f>AK36/1000</f>
        <v>40820.872</v>
      </c>
      <c r="AM36" s="3">
        <v>37911275</v>
      </c>
      <c r="AN36" s="3">
        <f>AM36/1000</f>
        <v>37911.275</v>
      </c>
      <c r="AO36" s="59">
        <v>44648161.28</v>
      </c>
      <c r="AP36" s="3">
        <f>AO36/1000</f>
        <v>44648.16128</v>
      </c>
      <c r="AQ36" s="3">
        <v>48223911</v>
      </c>
      <c r="AR36" s="3">
        <f>AQ36/1000</f>
        <v>48223.911</v>
      </c>
      <c r="AS36" s="3">
        <v>49949806.99</v>
      </c>
      <c r="AT36" s="3">
        <f>AS36/1000</f>
        <v>49949.806990000005</v>
      </c>
      <c r="AU36" s="3">
        <v>64048579.72</v>
      </c>
      <c r="AV36" s="3">
        <f>AU36/1000</f>
        <v>64048.57972</v>
      </c>
      <c r="AW36" s="3">
        <v>65072828.96</v>
      </c>
      <c r="AX36" s="3">
        <f>AW36/1000</f>
        <v>65072.82896</v>
      </c>
      <c r="AY36" s="3">
        <v>59275770.82000001</v>
      </c>
      <c r="AZ36" s="3">
        <f>AY36/1000</f>
        <v>59275.770820000005</v>
      </c>
    </row>
    <row r="37" spans="1:52" ht="15.75">
      <c r="A37" s="1" t="s">
        <v>27</v>
      </c>
      <c r="B37" s="80">
        <v>155567</v>
      </c>
      <c r="C37" s="80">
        <v>160302</v>
      </c>
      <c r="D37" s="80">
        <v>163128</v>
      </c>
      <c r="E37" s="80">
        <v>167258</v>
      </c>
      <c r="F37" s="80">
        <v>200312.27972999995</v>
      </c>
      <c r="G37" s="80">
        <v>222960</v>
      </c>
      <c r="H37" s="80">
        <v>244428.89267</v>
      </c>
      <c r="I37" s="80">
        <v>304888.68995</v>
      </c>
      <c r="J37" s="80">
        <v>288551.2626399999</v>
      </c>
      <c r="K37" s="80">
        <v>298571.79014999996</v>
      </c>
      <c r="L37" s="243">
        <f>(K37-J37)*100/J37</f>
        <v>3.4727027074221386</v>
      </c>
      <c r="M37" s="55">
        <f>(K37-AC37)*100/AC37</f>
        <v>92.28580914506517</v>
      </c>
      <c r="N37" s="14">
        <v>63400</v>
      </c>
      <c r="O37" s="14">
        <v>69534</v>
      </c>
      <c r="P37" s="14">
        <v>74080</v>
      </c>
      <c r="Q37" s="14">
        <v>81377</v>
      </c>
      <c r="R37" s="14">
        <v>85996</v>
      </c>
      <c r="S37" s="14">
        <v>94108</v>
      </c>
      <c r="T37" s="14">
        <v>101700</v>
      </c>
      <c r="U37" s="14">
        <v>106274</v>
      </c>
      <c r="V37" s="14">
        <v>116212</v>
      </c>
      <c r="W37" s="36">
        <v>114433</v>
      </c>
      <c r="X37" s="36">
        <v>125303</v>
      </c>
      <c r="Y37" s="36">
        <v>124531</v>
      </c>
      <c r="Z37" s="36">
        <v>133691</v>
      </c>
      <c r="AA37" s="36">
        <v>136896</v>
      </c>
      <c r="AB37" s="36">
        <v>144029</v>
      </c>
      <c r="AC37" s="36">
        <v>155275</v>
      </c>
      <c r="AD37" s="312">
        <v>155014946.09</v>
      </c>
      <c r="AE37">
        <v>155274906</v>
      </c>
      <c r="AF37" s="3">
        <f>AE37/1000</f>
        <v>155274.906</v>
      </c>
      <c r="AG37" s="3">
        <v>155567344</v>
      </c>
      <c r="AH37" s="3">
        <f>AG37/1000</f>
        <v>155567.344</v>
      </c>
      <c r="AI37" s="3">
        <v>160301528</v>
      </c>
      <c r="AJ37" s="3">
        <f>AI37/1000</f>
        <v>160301.528</v>
      </c>
      <c r="AK37" s="3">
        <v>163127760</v>
      </c>
      <c r="AL37" s="3">
        <f>AK37/1000</f>
        <v>163127.76</v>
      </c>
      <c r="AM37" s="3">
        <v>167258205</v>
      </c>
      <c r="AN37" s="3">
        <f>AM37/1000</f>
        <v>167258.205</v>
      </c>
      <c r="AO37" s="59">
        <v>200312279.72999996</v>
      </c>
      <c r="AP37" s="3">
        <f>AO37/1000</f>
        <v>200312.27972999995</v>
      </c>
      <c r="AQ37" s="3">
        <v>222959888</v>
      </c>
      <c r="AR37" s="3">
        <f>AQ37/1000</f>
        <v>222959.888</v>
      </c>
      <c r="AS37" s="3">
        <v>244428892.67</v>
      </c>
      <c r="AT37" s="3">
        <f>AS37/1000</f>
        <v>244428.89267</v>
      </c>
      <c r="AU37" s="3">
        <v>304888689.95000005</v>
      </c>
      <c r="AV37" s="3">
        <f>AU37/1000</f>
        <v>304888.68995</v>
      </c>
      <c r="AW37" s="3">
        <v>288551262.6399999</v>
      </c>
      <c r="AX37" s="3">
        <f>AW37/1000</f>
        <v>288551.2626399999</v>
      </c>
      <c r="AY37" s="3">
        <v>298571790.15</v>
      </c>
      <c r="AZ37" s="3">
        <f>AY37/1000</f>
        <v>298571.79014999996</v>
      </c>
    </row>
    <row r="38" spans="1:52" ht="15.75">
      <c r="A38" s="1" t="s">
        <v>28</v>
      </c>
      <c r="B38" s="80">
        <v>115354</v>
      </c>
      <c r="C38" s="80">
        <v>118450</v>
      </c>
      <c r="D38" s="80">
        <v>125587</v>
      </c>
      <c r="E38" s="80">
        <v>121321</v>
      </c>
      <c r="F38" s="80">
        <v>157047.68729</v>
      </c>
      <c r="G38" s="80">
        <v>167853</v>
      </c>
      <c r="H38" s="80">
        <v>189495.80350000004</v>
      </c>
      <c r="I38" s="80">
        <v>190072.85763</v>
      </c>
      <c r="J38" s="80">
        <v>241545.13740999997</v>
      </c>
      <c r="K38" s="80">
        <v>241301.10038000002</v>
      </c>
      <c r="L38" s="243">
        <f>(K38-J38)*100/J38</f>
        <v>-0.10103164676245122</v>
      </c>
      <c r="M38" s="55">
        <f>(K38-AC38)*100/AC38</f>
        <v>116.00478053190825</v>
      </c>
      <c r="N38" s="14">
        <v>39222</v>
      </c>
      <c r="O38" s="14">
        <v>44137</v>
      </c>
      <c r="P38" s="14">
        <v>43510</v>
      </c>
      <c r="Q38" s="14">
        <v>48993</v>
      </c>
      <c r="R38" s="14">
        <v>54917</v>
      </c>
      <c r="S38" s="14">
        <v>61929</v>
      </c>
      <c r="T38" s="14">
        <v>67035</v>
      </c>
      <c r="U38" s="14">
        <v>66835</v>
      </c>
      <c r="V38" s="14">
        <v>71025</v>
      </c>
      <c r="W38" s="36">
        <v>76567</v>
      </c>
      <c r="X38" s="36">
        <v>83378</v>
      </c>
      <c r="Y38" s="36">
        <v>80904</v>
      </c>
      <c r="Z38" s="36">
        <v>97738</v>
      </c>
      <c r="AA38" s="36">
        <v>98556</v>
      </c>
      <c r="AB38" s="36">
        <v>126669</v>
      </c>
      <c r="AC38" s="36">
        <v>111711</v>
      </c>
      <c r="AD38" s="312">
        <v>114428644.84</v>
      </c>
      <c r="AE38">
        <v>111710883</v>
      </c>
      <c r="AF38" s="3">
        <f>AE38/1000</f>
        <v>111710.883</v>
      </c>
      <c r="AG38" s="3">
        <v>115353865</v>
      </c>
      <c r="AH38" s="3">
        <f>AG38/1000</f>
        <v>115353.865</v>
      </c>
      <c r="AI38" s="3">
        <v>118450279</v>
      </c>
      <c r="AJ38" s="3">
        <f>AI38/1000</f>
        <v>118450.279</v>
      </c>
      <c r="AK38" s="3">
        <v>125586955</v>
      </c>
      <c r="AL38" s="3">
        <f>AK38/1000</f>
        <v>125586.955</v>
      </c>
      <c r="AM38" s="3">
        <v>121321127</v>
      </c>
      <c r="AN38" s="3">
        <f>AM38/1000</f>
        <v>121321.127</v>
      </c>
      <c r="AO38" s="59">
        <v>157047687.29</v>
      </c>
      <c r="AP38" s="3">
        <f>AO38/1000</f>
        <v>157047.68729</v>
      </c>
      <c r="AQ38" s="3">
        <v>167852505</v>
      </c>
      <c r="AR38" s="3">
        <f>AQ38/1000</f>
        <v>167852.505</v>
      </c>
      <c r="AS38" s="3">
        <v>189495803.50000003</v>
      </c>
      <c r="AT38" s="3">
        <f>AS38/1000</f>
        <v>189495.80350000004</v>
      </c>
      <c r="AU38" s="3">
        <v>190072857.63000003</v>
      </c>
      <c r="AV38" s="3">
        <f>AU38/1000</f>
        <v>190072.85763</v>
      </c>
      <c r="AW38" s="3">
        <v>241545137.40999997</v>
      </c>
      <c r="AX38" s="3">
        <f>AW38/1000</f>
        <v>241545.13740999997</v>
      </c>
      <c r="AY38" s="3">
        <v>241301100.38000003</v>
      </c>
      <c r="AZ38" s="3">
        <f>AY38/1000</f>
        <v>241301.10038000002</v>
      </c>
    </row>
    <row r="39" spans="1:52" ht="15.75">
      <c r="A39" s="17" t="s">
        <v>29</v>
      </c>
      <c r="B39" s="178">
        <v>61943</v>
      </c>
      <c r="C39" s="178">
        <v>65502</v>
      </c>
      <c r="D39" s="178">
        <v>62609</v>
      </c>
      <c r="E39" s="178">
        <v>65741</v>
      </c>
      <c r="F39" s="178">
        <v>93044.81765000001</v>
      </c>
      <c r="G39" s="178">
        <v>97190</v>
      </c>
      <c r="H39" s="178">
        <v>102878.17758</v>
      </c>
      <c r="I39" s="178">
        <v>127587.36067</v>
      </c>
      <c r="J39" s="178">
        <v>140863.89058</v>
      </c>
      <c r="K39" s="178">
        <v>127593.74983000002</v>
      </c>
      <c r="L39" s="243">
        <f>(K39-J39)*100/J39</f>
        <v>-9.4205411304209</v>
      </c>
      <c r="M39" s="55">
        <f>(K39-AC39)*100/AC39</f>
        <v>96.3977863068943</v>
      </c>
      <c r="N39" s="14">
        <v>20587</v>
      </c>
      <c r="O39" s="24">
        <v>23941</v>
      </c>
      <c r="P39" s="14">
        <v>26498</v>
      </c>
      <c r="Q39" s="14">
        <v>27289</v>
      </c>
      <c r="R39" s="14">
        <v>28973</v>
      </c>
      <c r="S39" s="14">
        <v>32828</v>
      </c>
      <c r="T39" s="14">
        <v>35111</v>
      </c>
      <c r="U39" s="14">
        <v>36712</v>
      </c>
      <c r="V39" s="14">
        <v>38242</v>
      </c>
      <c r="W39" s="36">
        <v>40816</v>
      </c>
      <c r="X39" s="36">
        <v>42453</v>
      </c>
      <c r="Y39" s="36">
        <v>43622</v>
      </c>
      <c r="Z39" s="36">
        <v>53957</v>
      </c>
      <c r="AA39" s="36">
        <v>52238</v>
      </c>
      <c r="AB39" s="36">
        <v>55968</v>
      </c>
      <c r="AC39" s="36">
        <v>64967</v>
      </c>
      <c r="AD39" s="312">
        <v>66436859.63999999</v>
      </c>
      <c r="AE39">
        <v>64966501</v>
      </c>
      <c r="AF39" s="3">
        <f>AE39/1000</f>
        <v>64966.501</v>
      </c>
      <c r="AG39" s="3">
        <v>61942542</v>
      </c>
      <c r="AH39" s="3">
        <f>AG39/1000</f>
        <v>61942.542</v>
      </c>
      <c r="AI39" s="3">
        <v>65502133</v>
      </c>
      <c r="AJ39" s="3">
        <f>AI39/1000</f>
        <v>65502.133</v>
      </c>
      <c r="AK39" s="3">
        <v>62608743</v>
      </c>
      <c r="AL39" s="3">
        <f>AK39/1000</f>
        <v>62608.743</v>
      </c>
      <c r="AM39" s="3">
        <v>65740748</v>
      </c>
      <c r="AN39" s="3">
        <f>AM39/1000</f>
        <v>65740.748</v>
      </c>
      <c r="AO39" s="199">
        <v>93044817.65</v>
      </c>
      <c r="AP39" s="3">
        <f>AO39/1000</f>
        <v>93044.81765000001</v>
      </c>
      <c r="AQ39" s="3">
        <v>97189784</v>
      </c>
      <c r="AR39" s="3">
        <f>AQ39/1000</f>
        <v>97189.784</v>
      </c>
      <c r="AS39" s="3">
        <v>102878177.58</v>
      </c>
      <c r="AT39" s="3">
        <f>AS39/1000</f>
        <v>102878.17758</v>
      </c>
      <c r="AU39" s="3">
        <v>127587360.67</v>
      </c>
      <c r="AV39" s="3">
        <f>AU39/1000</f>
        <v>127587.36067</v>
      </c>
      <c r="AW39" s="3">
        <v>140863890.58</v>
      </c>
      <c r="AX39" s="3">
        <f>AW39/1000</f>
        <v>140863.89058</v>
      </c>
      <c r="AY39" s="3">
        <v>127593749.83000001</v>
      </c>
      <c r="AZ39" s="3">
        <f>AY39/1000</f>
        <v>127593.74983000002</v>
      </c>
    </row>
    <row r="40" spans="1:27" ht="15.75">
      <c r="A40" s="1" t="s">
        <v>304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P40" s="18"/>
      <c r="Q40" s="18"/>
      <c r="R40" s="3"/>
      <c r="V40" s="18"/>
      <c r="W40" s="19"/>
      <c r="X40" s="18"/>
      <c r="Y40" s="18"/>
      <c r="Z40" s="3"/>
      <c r="AA40" s="18"/>
    </row>
    <row r="41" spans="12:27" ht="15.75">
      <c r="L41" s="15"/>
      <c r="R41" s="3"/>
      <c r="V41" s="1"/>
      <c r="W41" s="14"/>
      <c r="Z41" s="3"/>
      <c r="AA41" s="1"/>
    </row>
    <row r="42" spans="1:27" ht="15.75">
      <c r="A42" s="3"/>
      <c r="P42" s="14"/>
      <c r="Q42" s="14"/>
      <c r="R42" s="3"/>
      <c r="V42" s="14"/>
      <c r="W42" s="14"/>
      <c r="Z42" s="3"/>
      <c r="AA42" s="1"/>
    </row>
    <row r="43" spans="16:27" ht="15.75">
      <c r="P43" s="14"/>
      <c r="Q43" s="14"/>
      <c r="R43" s="3"/>
      <c r="V43" s="14"/>
      <c r="W43" s="14"/>
      <c r="Z43" s="3"/>
      <c r="AA43" s="1"/>
    </row>
    <row r="44" spans="16:41" ht="15.75">
      <c r="P44" s="14"/>
      <c r="Q44" s="14"/>
      <c r="R44" s="3"/>
      <c r="V44" s="14"/>
      <c r="W44" s="14"/>
      <c r="Z44" s="3"/>
      <c r="AA44" s="1"/>
      <c r="AO44" s="311"/>
    </row>
    <row r="45" spans="16:41" ht="15.75">
      <c r="P45" s="14"/>
      <c r="Q45" s="14"/>
      <c r="R45" s="3"/>
      <c r="V45" s="14"/>
      <c r="W45" s="14"/>
      <c r="Z45" s="3"/>
      <c r="AA45" s="1"/>
      <c r="AO45" s="311"/>
    </row>
    <row r="46" spans="16:41" ht="15.75">
      <c r="P46" s="14"/>
      <c r="Q46" s="14"/>
      <c r="R46" s="3"/>
      <c r="V46" s="14"/>
      <c r="W46" s="14"/>
      <c r="Z46" s="3"/>
      <c r="AA46" s="1"/>
      <c r="AO46" s="311"/>
    </row>
    <row r="47" spans="18:41" ht="15.75">
      <c r="R47" s="3"/>
      <c r="V47" s="14"/>
      <c r="W47" s="14"/>
      <c r="Z47" s="3"/>
      <c r="AA47" s="1"/>
      <c r="AO47" s="311"/>
    </row>
    <row r="48" spans="23:41" ht="15.75">
      <c r="W48" s="14"/>
      <c r="X48" s="14"/>
      <c r="AO48" s="311"/>
    </row>
    <row r="49" spans="23:41" ht="15.75">
      <c r="W49" s="14"/>
      <c r="X49" s="14"/>
      <c r="AO49" s="311"/>
    </row>
    <row r="50" spans="23:41" ht="15.75">
      <c r="W50" s="14"/>
      <c r="X50" s="14"/>
      <c r="AO50" s="311"/>
    </row>
    <row r="51" spans="23:41" ht="15.75">
      <c r="W51" s="14"/>
      <c r="X51" s="14"/>
      <c r="AO51" s="311"/>
    </row>
    <row r="52" spans="24:41" ht="15.75">
      <c r="X52" s="14"/>
      <c r="AO52" s="311"/>
    </row>
    <row r="53" spans="24:41" ht="15.75">
      <c r="X53" s="14"/>
      <c r="AO53" s="311"/>
    </row>
    <row r="54" ht="15.75">
      <c r="AO54" s="311"/>
    </row>
    <row r="55" ht="15.75">
      <c r="AO55" s="311"/>
    </row>
    <row r="56" ht="15.75">
      <c r="AO56" s="311"/>
    </row>
    <row r="57" ht="15.75">
      <c r="AO57" s="311"/>
    </row>
    <row r="58" ht="15.75">
      <c r="AO58" s="311"/>
    </row>
    <row r="59" ht="15.75">
      <c r="AO59" s="311"/>
    </row>
    <row r="60" ht="15.75">
      <c r="AO60" s="311"/>
    </row>
    <row r="61" ht="15.75">
      <c r="AO61" s="311"/>
    </row>
    <row r="62" ht="15.75">
      <c r="AO62" s="311"/>
    </row>
    <row r="63" ht="15.75">
      <c r="AO63" s="311"/>
    </row>
    <row r="64" ht="15.75">
      <c r="AO64" s="311"/>
    </row>
    <row r="65" ht="15.75">
      <c r="AO65" s="311"/>
    </row>
    <row r="66" ht="15.75">
      <c r="AO66" s="311"/>
    </row>
    <row r="67" ht="15.75">
      <c r="AO67" s="311"/>
    </row>
    <row r="68" ht="15.75">
      <c r="AO68" s="311"/>
    </row>
    <row r="69" ht="15.75">
      <c r="AO69" s="311"/>
    </row>
    <row r="70" ht="15.75">
      <c r="AO70" s="311"/>
    </row>
    <row r="71" ht="15.75">
      <c r="AO71" s="311"/>
    </row>
  </sheetData>
  <sheetProtection password="CAF5" sheet="1"/>
  <mergeCells count="3">
    <mergeCell ref="A1:M1"/>
    <mergeCell ref="A3:M3"/>
    <mergeCell ref="A4:M4"/>
  </mergeCells>
  <printOptions horizontalCentered="1"/>
  <pageMargins left="0.34" right="0.36" top="1" bottom="0.93" header="0.5" footer="0.52"/>
  <pageSetup fitToHeight="1" fitToWidth="1" horizontalDpi="600" verticalDpi="600" orientation="landscape" scale="78" r:id="rId1"/>
  <headerFooter scaleWithDoc="0" alignWithMargins="0">
    <oddHeader>&amp;R
</oddHeader>
    <oddFooter>&amp;L&amp;"Arial,Italic"&amp;10MSDE-LFRO   10 / 2011&amp;C&amp;"Arial,Regular"&amp;10- 1 -&amp;R&amp;"Arial,Italic"&amp;10Selected Financial Data - Part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zoomScalePageLayoutView="0" workbookViewId="0" topLeftCell="A28">
      <selection activeCell="H34" sqref="H34:J34"/>
    </sheetView>
  </sheetViews>
  <sheetFormatPr defaultColWidth="10.00390625" defaultRowHeight="15.75"/>
  <cols>
    <col min="1" max="1" width="12.875" style="30" customWidth="1"/>
    <col min="2" max="11" width="12.625" style="30" customWidth="1"/>
    <col min="12" max="12" width="9.25390625" style="30" customWidth="1"/>
    <col min="13" max="13" width="8.375" style="30" customWidth="1"/>
    <col min="14" max="14" width="10.25390625" style="30" bestFit="1" customWidth="1"/>
    <col min="15" max="22" width="10.125" style="30" customWidth="1"/>
    <col min="23" max="23" width="11.75390625" style="30" customWidth="1"/>
    <col min="24" max="24" width="11.625" style="30" bestFit="1" customWidth="1"/>
    <col min="25" max="26" width="11.625" style="30" customWidth="1"/>
    <col min="27" max="28" width="12.625" style="30" customWidth="1"/>
    <col min="29" max="29" width="11.125" style="30" bestFit="1" customWidth="1"/>
    <col min="30" max="30" width="11.125" style="30" customWidth="1"/>
    <col min="31" max="31" width="12.875" style="30" customWidth="1"/>
    <col min="32" max="34" width="10.125" style="30" customWidth="1"/>
    <col min="35" max="35" width="11.75390625" style="30" customWidth="1"/>
    <col min="36" max="36" width="10.125" style="30" customWidth="1"/>
    <col min="37" max="37" width="11.625" style="30" bestFit="1" customWidth="1"/>
    <col min="38" max="38" width="10.75390625" style="30" bestFit="1" customWidth="1"/>
    <col min="39" max="39" width="12.00390625" style="30" bestFit="1" customWidth="1"/>
    <col min="40" max="40" width="10.125" style="30" customWidth="1"/>
    <col min="41" max="41" width="11.625" style="30" bestFit="1" customWidth="1"/>
    <col min="42" max="42" width="10.75390625" style="30" bestFit="1" customWidth="1"/>
    <col min="43" max="43" width="10.125" style="30" customWidth="1"/>
    <col min="44" max="44" width="5.125" style="30" customWidth="1"/>
    <col min="45" max="45" width="11.625" style="30" bestFit="1" customWidth="1"/>
    <col min="46" max="46" width="10.75390625" style="30" bestFit="1" customWidth="1"/>
    <col min="47" max="47" width="12.00390625" style="30" bestFit="1" customWidth="1"/>
    <col min="48" max="48" width="10.125" style="30" customWidth="1"/>
    <col min="49" max="49" width="11.625" style="30" bestFit="1" customWidth="1"/>
    <col min="50" max="52" width="10.125" style="30" customWidth="1"/>
    <col min="53" max="53" width="11.625" style="30" bestFit="1" customWidth="1"/>
    <col min="54" max="54" width="10.125" style="30" customWidth="1"/>
    <col min="55" max="55" width="12.00390625" style="30" bestFit="1" customWidth="1"/>
    <col min="56" max="56" width="10.125" style="30" customWidth="1"/>
    <col min="57" max="16384" width="10.00390625" style="30" customWidth="1"/>
  </cols>
  <sheetData>
    <row r="1" spans="1:28" ht="15.75" customHeight="1">
      <c r="A1" s="314" t="s">
        <v>90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29"/>
      <c r="AA1" s="116"/>
      <c r="AB1" s="116"/>
    </row>
    <row r="2" spans="1:28" ht="12.75">
      <c r="A2" s="201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38"/>
      <c r="AA2" s="116"/>
      <c r="AB2" s="116"/>
    </row>
    <row r="3" spans="1:28" s="85" customFormat="1" ht="12.75" customHeight="1">
      <c r="A3" s="314" t="s">
        <v>87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115"/>
      <c r="AA3" s="119"/>
      <c r="AB3" s="119"/>
    </row>
    <row r="4" spans="1:36" s="3" customFormat="1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201"/>
      <c r="P4" s="201"/>
      <c r="Q4" s="10"/>
      <c r="R4" s="1"/>
      <c r="S4" s="1"/>
      <c r="T4" s="1"/>
      <c r="U4" s="1"/>
      <c r="V4" s="1"/>
      <c r="W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1"/>
    </row>
    <row r="5" spans="1:55" ht="16.5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238"/>
      <c r="AA5" s="238"/>
      <c r="AB5" s="238"/>
      <c r="AE5" s="40" t="s">
        <v>184</v>
      </c>
      <c r="AG5" s="330" t="s">
        <v>194</v>
      </c>
      <c r="AH5" s="330"/>
      <c r="AI5" s="330"/>
      <c r="AK5" s="330" t="s">
        <v>208</v>
      </c>
      <c r="AL5" s="330"/>
      <c r="AM5" s="330"/>
      <c r="AO5" s="330" t="s">
        <v>243</v>
      </c>
      <c r="AP5" s="330"/>
      <c r="AQ5" s="330"/>
      <c r="AS5" s="330" t="s">
        <v>256</v>
      </c>
      <c r="AT5" s="330"/>
      <c r="AU5" s="330"/>
      <c r="AW5" s="329" t="s">
        <v>269</v>
      </c>
      <c r="AX5" s="330"/>
      <c r="AY5" s="330"/>
      <c r="BA5" s="329" t="s">
        <v>284</v>
      </c>
      <c r="BB5" s="329"/>
      <c r="BC5" s="329"/>
    </row>
    <row r="6" spans="1:53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0" t="s">
        <v>158</v>
      </c>
      <c r="AG6" s="30" t="s">
        <v>158</v>
      </c>
      <c r="AK6" s="30" t="s">
        <v>158</v>
      </c>
      <c r="AO6" s="30" t="s">
        <v>158</v>
      </c>
      <c r="AS6" s="30" t="s">
        <v>158</v>
      </c>
      <c r="AW6" s="30" t="s">
        <v>158</v>
      </c>
      <c r="BA6" s="30" t="s">
        <v>158</v>
      </c>
    </row>
    <row r="7" spans="1:55" ht="12.75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315" t="s">
        <v>34</v>
      </c>
      <c r="M7" s="315"/>
      <c r="O7" s="33"/>
      <c r="P7" s="33"/>
      <c r="Q7" s="33"/>
      <c r="R7" s="33"/>
      <c r="T7" s="33"/>
      <c r="U7" s="33"/>
      <c r="V7" s="33"/>
      <c r="W7" s="33"/>
      <c r="X7" s="33"/>
      <c r="Y7" s="33"/>
      <c r="Z7" s="33"/>
      <c r="AE7" s="30" t="s">
        <v>159</v>
      </c>
      <c r="AG7" s="228"/>
      <c r="AH7" s="234"/>
      <c r="AI7" s="229"/>
      <c r="AK7" s="228"/>
      <c r="AL7" s="234"/>
      <c r="AM7" s="229"/>
      <c r="AO7" s="228"/>
      <c r="AP7" s="234"/>
      <c r="AQ7" s="229"/>
      <c r="AS7" s="228"/>
      <c r="AT7" s="234"/>
      <c r="AU7" s="229"/>
      <c r="AW7" s="228"/>
      <c r="AX7" s="234"/>
      <c r="AY7" s="229"/>
      <c r="BA7" s="228"/>
      <c r="BB7" s="234"/>
      <c r="BC7" s="229"/>
    </row>
    <row r="8" spans="1:55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O8" s="33"/>
      <c r="P8" s="33"/>
      <c r="Q8" s="33"/>
      <c r="R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0" t="s">
        <v>160</v>
      </c>
      <c r="AG8" s="230" t="s">
        <v>199</v>
      </c>
      <c r="AH8" s="235"/>
      <c r="AI8" s="231" t="s">
        <v>112</v>
      </c>
      <c r="AK8" s="230" t="s">
        <v>199</v>
      </c>
      <c r="AL8" s="235"/>
      <c r="AM8" s="231" t="s">
        <v>112</v>
      </c>
      <c r="AO8" s="230" t="s">
        <v>199</v>
      </c>
      <c r="AP8" s="235"/>
      <c r="AQ8" s="231" t="s">
        <v>112</v>
      </c>
      <c r="AS8" s="230" t="s">
        <v>199</v>
      </c>
      <c r="AT8" s="235"/>
      <c r="AU8" s="231" t="s">
        <v>112</v>
      </c>
      <c r="AW8" s="230" t="s">
        <v>199</v>
      </c>
      <c r="AX8" s="235"/>
      <c r="AY8" s="231" t="s">
        <v>112</v>
      </c>
      <c r="BA8" s="230" t="s">
        <v>199</v>
      </c>
      <c r="BB8" s="235"/>
      <c r="BC8" s="231" t="s">
        <v>112</v>
      </c>
    </row>
    <row r="9" spans="1:55" ht="13.5" thickBot="1">
      <c r="A9" s="8" t="s">
        <v>1</v>
      </c>
      <c r="B9" s="9" t="s">
        <v>105</v>
      </c>
      <c r="C9" s="9" t="s">
        <v>161</v>
      </c>
      <c r="D9" s="9" t="s">
        <v>168</v>
      </c>
      <c r="E9" s="9" t="s">
        <v>184</v>
      </c>
      <c r="F9" s="9" t="s">
        <v>194</v>
      </c>
      <c r="G9" s="9" t="s">
        <v>208</v>
      </c>
      <c r="H9" s="9" t="s">
        <v>243</v>
      </c>
      <c r="I9" s="9" t="s">
        <v>256</v>
      </c>
      <c r="J9" s="9" t="s">
        <v>269</v>
      </c>
      <c r="K9" s="9" t="s">
        <v>284</v>
      </c>
      <c r="L9" s="9" t="s">
        <v>84</v>
      </c>
      <c r="M9" s="9" t="s">
        <v>84</v>
      </c>
      <c r="N9" s="40" t="s">
        <v>51</v>
      </c>
      <c r="O9" s="40" t="s">
        <v>35</v>
      </c>
      <c r="P9" s="40" t="s">
        <v>31</v>
      </c>
      <c r="Q9" s="44" t="s">
        <v>64</v>
      </c>
      <c r="R9" s="40" t="s">
        <v>32</v>
      </c>
      <c r="S9" s="40" t="s">
        <v>72</v>
      </c>
      <c r="T9" s="40" t="s">
        <v>67</v>
      </c>
      <c r="U9" s="40" t="s">
        <v>68</v>
      </c>
      <c r="V9" s="40" t="s">
        <v>69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9"/>
      <c r="AG9" s="232" t="s">
        <v>200</v>
      </c>
      <c r="AH9" s="236" t="s">
        <v>128</v>
      </c>
      <c r="AI9" s="233" t="s">
        <v>160</v>
      </c>
      <c r="AK9" s="232" t="s">
        <v>200</v>
      </c>
      <c r="AL9" s="236" t="s">
        <v>128</v>
      </c>
      <c r="AM9" s="233" t="s">
        <v>160</v>
      </c>
      <c r="AO9" s="232" t="s">
        <v>200</v>
      </c>
      <c r="AP9" s="236" t="s">
        <v>128</v>
      </c>
      <c r="AQ9" s="233" t="s">
        <v>160</v>
      </c>
      <c r="AS9" s="232" t="s">
        <v>200</v>
      </c>
      <c r="AT9" s="236" t="s">
        <v>128</v>
      </c>
      <c r="AU9" s="233" t="s">
        <v>160</v>
      </c>
      <c r="AW9" s="232" t="s">
        <v>200</v>
      </c>
      <c r="AX9" s="236" t="s">
        <v>128</v>
      </c>
      <c r="AY9" s="233" t="s">
        <v>160</v>
      </c>
      <c r="BA9" s="232" t="s">
        <v>200</v>
      </c>
      <c r="BB9" s="236" t="s">
        <v>128</v>
      </c>
      <c r="BC9" s="233" t="s">
        <v>160</v>
      </c>
    </row>
    <row r="10" spans="1:55" ht="12.75">
      <c r="A10" s="7" t="s">
        <v>5</v>
      </c>
      <c r="B10" s="11">
        <f aca="true" t="shared" si="0" ref="B10:J10">SUM(B12:B43)</f>
        <v>161235753.71000004</v>
      </c>
      <c r="C10" s="11">
        <f t="shared" si="0"/>
        <v>179169298.96</v>
      </c>
      <c r="D10" s="11">
        <f t="shared" si="0"/>
        <v>203920664.82</v>
      </c>
      <c r="E10" s="11">
        <f t="shared" si="0"/>
        <v>213000796.39999998</v>
      </c>
      <c r="F10" s="11">
        <f t="shared" si="0"/>
        <v>216085889</v>
      </c>
      <c r="G10" s="11">
        <f t="shared" si="0"/>
        <v>232956697.44999996</v>
      </c>
      <c r="H10" s="11">
        <f t="shared" si="0"/>
        <v>234873721.13</v>
      </c>
      <c r="I10" s="11">
        <f t="shared" si="0"/>
        <v>250331511.63999996</v>
      </c>
      <c r="J10" s="11">
        <f t="shared" si="0"/>
        <v>268543914.47999996</v>
      </c>
      <c r="K10" s="11">
        <f>SUM(K12:K43)</f>
        <v>261227629.23999995</v>
      </c>
      <c r="L10" s="245">
        <f>(K10-J10)*100/J10</f>
        <v>-2.724427866543554</v>
      </c>
      <c r="M10" s="48">
        <f>(K10-AC10)*100/AC10</f>
        <v>66.67144929104491</v>
      </c>
      <c r="N10" s="35">
        <f aca="true" t="shared" si="1" ref="N10:Y10">SUM(N12:N39)</f>
        <v>22792625</v>
      </c>
      <c r="O10" s="35">
        <f t="shared" si="1"/>
        <v>23124421</v>
      </c>
      <c r="P10" s="35">
        <f t="shared" si="1"/>
        <v>29051067</v>
      </c>
      <c r="Q10" s="35">
        <f t="shared" si="1"/>
        <v>35412503</v>
      </c>
      <c r="R10" s="35">
        <f t="shared" si="1"/>
        <v>40133251</v>
      </c>
      <c r="S10" s="35">
        <f t="shared" si="1"/>
        <v>52753434</v>
      </c>
      <c r="T10" s="35">
        <f t="shared" si="1"/>
        <v>67177443</v>
      </c>
      <c r="U10" s="35">
        <f t="shared" si="1"/>
        <v>75222362</v>
      </c>
      <c r="V10" s="35">
        <f t="shared" si="1"/>
        <v>71391331</v>
      </c>
      <c r="W10" s="35">
        <f t="shared" si="1"/>
        <v>83988741</v>
      </c>
      <c r="X10" s="35">
        <f t="shared" si="1"/>
        <v>89974121</v>
      </c>
      <c r="Y10" s="35">
        <f t="shared" si="1"/>
        <v>103377197</v>
      </c>
      <c r="Z10" s="35">
        <f>SUM(Z12:Z43)</f>
        <v>116431397</v>
      </c>
      <c r="AA10" s="35">
        <f>SUM(AA12:AA43)</f>
        <v>140544581</v>
      </c>
      <c r="AB10" s="35">
        <f>SUM(AB12:AB43)</f>
        <v>149634198</v>
      </c>
      <c r="AC10" s="35">
        <f>SUM(AC12:AC43)</f>
        <v>156732080</v>
      </c>
      <c r="AD10" s="35"/>
      <c r="AE10" s="35">
        <f>SUM(AE12:AE43)</f>
        <v>213000796.39999998</v>
      </c>
      <c r="AG10" s="30">
        <v>211618317</v>
      </c>
      <c r="AH10" s="30">
        <v>4467572.5</v>
      </c>
      <c r="AI10" s="30">
        <f>SUM(AG10:AH10)</f>
        <v>216085889.5</v>
      </c>
      <c r="AK10" s="106">
        <f>SUM(AK12:AK39)</f>
        <v>217777559.95999998</v>
      </c>
      <c r="AL10" s="106">
        <f>SUM(AL12:AL39)</f>
        <v>15179137.49</v>
      </c>
      <c r="AM10" s="30">
        <f>SUM(AK10:AL10)</f>
        <v>232956697.45</v>
      </c>
      <c r="AO10" s="106">
        <f>SUM(AO12:AO39)</f>
        <v>224119104.06</v>
      </c>
      <c r="AP10" s="106">
        <f>SUM(AP12:AP39)</f>
        <v>10754617.07</v>
      </c>
      <c r="AQ10" s="30">
        <f>SUM(AO10:AP10)</f>
        <v>234873721.13</v>
      </c>
      <c r="AS10" s="106">
        <f>SUM(AS12:AS39)</f>
        <v>240430195.45999995</v>
      </c>
      <c r="AT10" s="106">
        <f>SUM(AT12:AT39)</f>
        <v>9901316.18</v>
      </c>
      <c r="AU10" s="30">
        <f>SUM(AS10:AT10)</f>
        <v>250331511.63999996</v>
      </c>
      <c r="AW10" s="106">
        <f>SUM(AW12:AW39)</f>
        <v>268543914.47999996</v>
      </c>
      <c r="AX10" s="106">
        <f>SUM(AX12:AX39)</f>
        <v>0</v>
      </c>
      <c r="AY10" s="30">
        <f>SUM(AW10:AX10)</f>
        <v>268543914.47999996</v>
      </c>
      <c r="BA10" s="106">
        <f>SUM(BA12:BA39)</f>
        <v>261227629.23999995</v>
      </c>
      <c r="BB10" s="106">
        <f>SUM(BB12:BB39)</f>
        <v>0</v>
      </c>
      <c r="BC10" s="106">
        <f>SUM(BC12:BC39)</f>
        <v>261227629.23999995</v>
      </c>
    </row>
    <row r="11" spans="1:50" ht="12.75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1"/>
      <c r="M11" s="14"/>
      <c r="O11" s="36"/>
      <c r="R11" s="36"/>
      <c r="S11" s="36"/>
      <c r="X11" s="36"/>
      <c r="Y11" s="36"/>
      <c r="Z11" s="41"/>
      <c r="AA11" s="33"/>
      <c r="AB11" s="33"/>
      <c r="AC11" s="33"/>
      <c r="AD11" s="33"/>
      <c r="AE11" s="33"/>
      <c r="AK11" s="41"/>
      <c r="AL11" s="41"/>
      <c r="AO11" s="41"/>
      <c r="AP11" s="41"/>
      <c r="AS11" s="41"/>
      <c r="AT11" s="41"/>
      <c r="AW11" s="41"/>
      <c r="AX11" s="41"/>
    </row>
    <row r="12" spans="1:55" ht="12.75">
      <c r="A12" s="1" t="s">
        <v>6</v>
      </c>
      <c r="B12" s="308">
        <v>1241064.67</v>
      </c>
      <c r="C12" s="308">
        <v>1341555.09</v>
      </c>
      <c r="D12" s="308">
        <v>1468133</v>
      </c>
      <c r="E12" s="308">
        <v>1771864.05</v>
      </c>
      <c r="F12" s="308">
        <v>1909245</v>
      </c>
      <c r="G12" s="308">
        <v>2525419.62</v>
      </c>
      <c r="H12" s="308">
        <v>2285867.4</v>
      </c>
      <c r="I12" s="308">
        <v>2183034.27</v>
      </c>
      <c r="J12" s="308">
        <v>2762254.47</v>
      </c>
      <c r="K12" s="308">
        <v>2938981.68</v>
      </c>
      <c r="L12" s="245">
        <f>(K12-J12)*100/J12</f>
        <v>6.3979337139057995</v>
      </c>
      <c r="M12" s="48">
        <f>(K12-AC12)*100/AC12</f>
        <v>93.09820277605859</v>
      </c>
      <c r="N12" s="36">
        <v>0</v>
      </c>
      <c r="O12" s="36">
        <v>16669</v>
      </c>
      <c r="P12" s="36">
        <v>35044</v>
      </c>
      <c r="Q12" s="36">
        <v>32587</v>
      </c>
      <c r="R12" s="36">
        <v>39369</v>
      </c>
      <c r="S12" s="36">
        <v>34701</v>
      </c>
      <c r="T12" s="36">
        <v>50054</v>
      </c>
      <c r="U12" s="36">
        <v>143690</v>
      </c>
      <c r="V12" s="36">
        <v>210139</v>
      </c>
      <c r="W12" s="36">
        <v>92019</v>
      </c>
      <c r="X12" s="36">
        <v>191126</v>
      </c>
      <c r="Y12" s="36">
        <v>160311</v>
      </c>
      <c r="Z12" s="41">
        <v>281020</v>
      </c>
      <c r="AA12" s="78">
        <v>643797</v>
      </c>
      <c r="AB12" s="78">
        <v>976023</v>
      </c>
      <c r="AC12" s="78">
        <v>1522014</v>
      </c>
      <c r="AD12" s="78"/>
      <c r="AE12" s="83">
        <v>1771864.05</v>
      </c>
      <c r="AH12" s="30">
        <v>1909245</v>
      </c>
      <c r="AI12" s="30">
        <f>SUM(AG12:AH12)</f>
        <v>1909245</v>
      </c>
      <c r="AK12" s="226">
        <v>0</v>
      </c>
      <c r="AL12" s="92">
        <v>2525419.62</v>
      </c>
      <c r="AM12" s="30">
        <f>SUM(AK12:AL12)</f>
        <v>2525419.62</v>
      </c>
      <c r="AO12" s="247">
        <v>0</v>
      </c>
      <c r="AP12" s="3">
        <v>2285867.4</v>
      </c>
      <c r="AQ12" s="30">
        <f>SUM(AO12:AP12)</f>
        <v>2285867.4</v>
      </c>
      <c r="AS12" s="247">
        <v>0</v>
      </c>
      <c r="AT12" s="3">
        <v>2183034.27</v>
      </c>
      <c r="AU12" s="30">
        <f>SUM(AS12:AT12)</f>
        <v>2183034.27</v>
      </c>
      <c r="AW12" s="128">
        <v>2762254.47</v>
      </c>
      <c r="AX12" s="128">
        <v>0</v>
      </c>
      <c r="AY12" s="30">
        <f>SUM(AW12:AX12)</f>
        <v>2762254.47</v>
      </c>
      <c r="BA12" s="287">
        <v>2938981.68</v>
      </c>
      <c r="BB12" s="128">
        <v>0</v>
      </c>
      <c r="BC12" s="30">
        <f>SUM(BA12:BB12)</f>
        <v>2938981.68</v>
      </c>
    </row>
    <row r="13" spans="1:55" ht="12.75">
      <c r="A13" s="1" t="s">
        <v>7</v>
      </c>
      <c r="B13" s="308">
        <v>9411406</v>
      </c>
      <c r="C13" s="308">
        <v>16227234</v>
      </c>
      <c r="D13" s="308">
        <v>16779698</v>
      </c>
      <c r="E13" s="308">
        <v>16638996</v>
      </c>
      <c r="F13" s="308">
        <v>17288927</v>
      </c>
      <c r="G13" s="308">
        <v>18225298</v>
      </c>
      <c r="H13" s="308">
        <v>18416816.77</v>
      </c>
      <c r="I13" s="308">
        <v>20845537.470000003</v>
      </c>
      <c r="J13" s="308">
        <v>21013304.51</v>
      </c>
      <c r="K13" s="308">
        <v>20164018.94</v>
      </c>
      <c r="L13" s="245">
        <f>(K13-J13)*100/J13</f>
        <v>-4.041656416275862</v>
      </c>
      <c r="M13" s="48">
        <f>(K13-AC13)*100/AC13</f>
        <v>105.55898647403976</v>
      </c>
      <c r="N13" s="36">
        <v>1517984</v>
      </c>
      <c r="O13" s="36">
        <v>1767732</v>
      </c>
      <c r="P13" s="36">
        <v>1905586</v>
      </c>
      <c r="Q13" s="36">
        <v>2124742</v>
      </c>
      <c r="R13" s="36">
        <v>2561350</v>
      </c>
      <c r="S13" s="36">
        <v>3412380</v>
      </c>
      <c r="T13" s="36">
        <v>5486225</v>
      </c>
      <c r="U13" s="36">
        <v>6081875</v>
      </c>
      <c r="V13" s="36">
        <v>6887093</v>
      </c>
      <c r="W13" s="36">
        <v>7261753</v>
      </c>
      <c r="X13" s="36">
        <v>7649506</v>
      </c>
      <c r="Y13" s="36">
        <v>8006561</v>
      </c>
      <c r="Z13" s="41">
        <v>8361332</v>
      </c>
      <c r="AA13" s="78">
        <v>10846922</v>
      </c>
      <c r="AB13" s="78">
        <v>10128026</v>
      </c>
      <c r="AC13" s="78">
        <v>9809359</v>
      </c>
      <c r="AD13" s="78"/>
      <c r="AE13" s="92">
        <v>16638996</v>
      </c>
      <c r="AG13" s="30">
        <v>17288927</v>
      </c>
      <c r="AH13" s="30">
        <v>0</v>
      </c>
      <c r="AI13" s="30">
        <f>SUM(AG13:AH13)</f>
        <v>17288927</v>
      </c>
      <c r="AK13" s="92">
        <v>18225298</v>
      </c>
      <c r="AL13" s="226">
        <v>0</v>
      </c>
      <c r="AM13" s="30">
        <f>SUM(AK13:AL13)</f>
        <v>18225298</v>
      </c>
      <c r="AO13" s="247">
        <v>18416816.77</v>
      </c>
      <c r="AP13" s="3"/>
      <c r="AQ13" s="30">
        <f>SUM(AO13:AP13)</f>
        <v>18416816.77</v>
      </c>
      <c r="AS13" s="247">
        <v>20646145.470000003</v>
      </c>
      <c r="AT13" s="3">
        <v>199392</v>
      </c>
      <c r="AU13" s="30">
        <f>SUM(AS13:AT13)</f>
        <v>20845537.470000003</v>
      </c>
      <c r="AW13" s="128">
        <v>21013304.51</v>
      </c>
      <c r="AX13" s="128">
        <v>0</v>
      </c>
      <c r="AY13" s="30">
        <f>SUM(AW13:AX13)</f>
        <v>21013304.51</v>
      </c>
      <c r="BA13" s="287">
        <v>20164018.94</v>
      </c>
      <c r="BB13" s="128">
        <v>0</v>
      </c>
      <c r="BC13" s="30">
        <f>SUM(BA13:BB13)</f>
        <v>20164018.94</v>
      </c>
    </row>
    <row r="14" spans="1:55" ht="12.75">
      <c r="A14" s="1" t="s">
        <v>8</v>
      </c>
      <c r="B14" s="308">
        <v>47103119</v>
      </c>
      <c r="C14" s="308">
        <v>44372489</v>
      </c>
      <c r="D14" s="308">
        <v>46173731</v>
      </c>
      <c r="E14" s="308">
        <v>50888720</v>
      </c>
      <c r="F14" s="308">
        <v>48443624</v>
      </c>
      <c r="G14" s="308">
        <v>50710255.4</v>
      </c>
      <c r="H14" s="308">
        <v>50374604.86</v>
      </c>
      <c r="I14" s="308">
        <v>53867423.95</v>
      </c>
      <c r="J14" s="308">
        <v>61393213.66</v>
      </c>
      <c r="K14" s="308">
        <v>62719663.849999994</v>
      </c>
      <c r="L14" s="245">
        <f>(K14-J14)*100/J14</f>
        <v>2.1605811309145233</v>
      </c>
      <c r="M14" s="48">
        <f>(K14-AC14)*100/AC14</f>
        <v>27.24232084826287</v>
      </c>
      <c r="N14" s="36">
        <v>7772664</v>
      </c>
      <c r="O14" s="36">
        <f>6456766+1827</f>
        <v>6458593</v>
      </c>
      <c r="P14" s="36">
        <f>8509699+215</f>
        <v>8509914</v>
      </c>
      <c r="Q14" s="36">
        <v>9661899</v>
      </c>
      <c r="R14" s="36">
        <v>10587442</v>
      </c>
      <c r="S14" s="36">
        <v>13200881</v>
      </c>
      <c r="T14" s="36">
        <v>17744650</v>
      </c>
      <c r="U14" s="36">
        <v>20532167</v>
      </c>
      <c r="V14" s="36">
        <v>23243276</v>
      </c>
      <c r="W14" s="36">
        <v>22748212</v>
      </c>
      <c r="X14" s="36">
        <v>23868338</v>
      </c>
      <c r="Y14" s="36">
        <v>30556484</v>
      </c>
      <c r="Z14" s="41">
        <v>37170905</v>
      </c>
      <c r="AA14" s="78">
        <v>51823235</v>
      </c>
      <c r="AB14" s="78">
        <v>49125659</v>
      </c>
      <c r="AC14" s="78">
        <v>49291512</v>
      </c>
      <c r="AD14" s="78"/>
      <c r="AE14" s="92">
        <v>50888720</v>
      </c>
      <c r="AG14" s="30">
        <v>46415767</v>
      </c>
      <c r="AH14" s="30">
        <v>2027857</v>
      </c>
      <c r="AI14" s="30">
        <f>SUM(AG14:AH14)</f>
        <v>48443624</v>
      </c>
      <c r="AK14" s="92">
        <v>48767177</v>
      </c>
      <c r="AL14" s="92">
        <v>1943078.4</v>
      </c>
      <c r="AM14" s="30">
        <f>SUM(AK14:AL14)</f>
        <v>50710255.4</v>
      </c>
      <c r="AO14" s="247">
        <v>48788646.46</v>
      </c>
      <c r="AP14" s="3">
        <v>1585958.4</v>
      </c>
      <c r="AQ14" s="30">
        <f>SUM(AO14:AP14)</f>
        <v>50374604.86</v>
      </c>
      <c r="AS14" s="247">
        <v>52274219.95</v>
      </c>
      <c r="AT14" s="3">
        <v>1593204</v>
      </c>
      <c r="AU14" s="30">
        <f>SUM(AS14:AT14)</f>
        <v>53867423.95</v>
      </c>
      <c r="AW14" s="128">
        <v>61393213.66</v>
      </c>
      <c r="AX14" s="128">
        <v>0</v>
      </c>
      <c r="AY14" s="30">
        <f>SUM(AW14:AX14)</f>
        <v>61393213.66</v>
      </c>
      <c r="BA14" s="287">
        <v>62719663.849999994</v>
      </c>
      <c r="BB14" s="128">
        <v>0</v>
      </c>
      <c r="BC14" s="30">
        <f>SUM(BA14:BB14)</f>
        <v>62719663.849999994</v>
      </c>
    </row>
    <row r="15" spans="1:55" ht="12.75">
      <c r="A15" s="1" t="s">
        <v>9</v>
      </c>
      <c r="B15" s="308">
        <v>19995561</v>
      </c>
      <c r="C15" s="308">
        <v>22906210</v>
      </c>
      <c r="D15" s="308">
        <v>28000070</v>
      </c>
      <c r="E15" s="308">
        <v>27857478</v>
      </c>
      <c r="F15" s="308">
        <v>29384119</v>
      </c>
      <c r="G15" s="308">
        <v>30838060</v>
      </c>
      <c r="H15" s="308">
        <v>30087053</v>
      </c>
      <c r="I15" s="308">
        <v>32282753</v>
      </c>
      <c r="J15" s="308">
        <v>34257338</v>
      </c>
      <c r="K15" s="308">
        <v>34427799.79</v>
      </c>
      <c r="L15" s="245">
        <f>(K15-J15)*100/J15</f>
        <v>0.4975920487458748</v>
      </c>
      <c r="M15" s="48">
        <f>(K15-AC15)*100/AC15</f>
        <v>94.93769318424714</v>
      </c>
      <c r="N15" s="36">
        <v>2594804</v>
      </c>
      <c r="O15" s="36">
        <v>3157048</v>
      </c>
      <c r="P15" s="36">
        <v>3885797</v>
      </c>
      <c r="Q15" s="36">
        <v>4934450</v>
      </c>
      <c r="R15" s="36">
        <f>38601+5887828</f>
        <v>5926429</v>
      </c>
      <c r="S15" s="36">
        <v>6592425</v>
      </c>
      <c r="T15" s="36">
        <v>8149736</v>
      </c>
      <c r="U15" s="36">
        <v>8134672</v>
      </c>
      <c r="V15" s="36">
        <v>144950</v>
      </c>
      <c r="W15" s="36">
        <v>8182438</v>
      </c>
      <c r="X15" s="36">
        <v>7312671</v>
      </c>
      <c r="Y15" s="36">
        <v>9065154</v>
      </c>
      <c r="Z15" s="41">
        <v>10411190</v>
      </c>
      <c r="AA15" s="78">
        <v>15428413</v>
      </c>
      <c r="AB15" s="78">
        <v>22378649</v>
      </c>
      <c r="AC15" s="78">
        <v>17660925</v>
      </c>
      <c r="AD15" s="78"/>
      <c r="AE15" s="92">
        <v>27857478</v>
      </c>
      <c r="AG15" s="30">
        <v>29384119</v>
      </c>
      <c r="AH15" s="30">
        <v>0</v>
      </c>
      <c r="AI15" s="30">
        <f>SUM(AG15:AH15)</f>
        <v>29384119</v>
      </c>
      <c r="AK15" s="92">
        <v>29156789</v>
      </c>
      <c r="AL15" s="92">
        <v>1681271</v>
      </c>
      <c r="AM15" s="30">
        <f>SUM(AK15:AL15)</f>
        <v>30838060</v>
      </c>
      <c r="AO15" s="247">
        <v>30087053</v>
      </c>
      <c r="AP15" s="3"/>
      <c r="AQ15" s="30">
        <f>SUM(AO15:AP15)</f>
        <v>30087053</v>
      </c>
      <c r="AS15" s="247">
        <v>31853025</v>
      </c>
      <c r="AT15" s="3">
        <v>429728</v>
      </c>
      <c r="AU15" s="30">
        <f>SUM(AS15:AT15)</f>
        <v>32282753</v>
      </c>
      <c r="AW15" s="128">
        <v>34257338</v>
      </c>
      <c r="AX15" s="128">
        <v>0</v>
      </c>
      <c r="AY15" s="30">
        <f>SUM(AW15:AX15)</f>
        <v>34257338</v>
      </c>
      <c r="BA15" s="287">
        <v>34427799.79</v>
      </c>
      <c r="BB15" s="128">
        <v>0</v>
      </c>
      <c r="BC15" s="30">
        <f>SUM(BA15:BB15)</f>
        <v>34427799.79</v>
      </c>
    </row>
    <row r="16" spans="1:55" ht="12.75">
      <c r="A16" s="1" t="s">
        <v>10</v>
      </c>
      <c r="B16" s="308">
        <v>1664781.9</v>
      </c>
      <c r="C16" s="308">
        <v>2052000.04</v>
      </c>
      <c r="D16" s="308">
        <v>2241887.14</v>
      </c>
      <c r="E16" s="308">
        <v>2198223.53</v>
      </c>
      <c r="F16" s="308">
        <v>2082749</v>
      </c>
      <c r="G16" s="308">
        <v>2005111.02</v>
      </c>
      <c r="H16" s="308">
        <v>2018274.8</v>
      </c>
      <c r="I16" s="308">
        <v>1159599.77</v>
      </c>
      <c r="J16" s="308">
        <v>2422773.34</v>
      </c>
      <c r="K16" s="308">
        <v>2341486.94</v>
      </c>
      <c r="L16" s="245">
        <f>(K16-J16)*100/J16</f>
        <v>-3.3550971796643556</v>
      </c>
      <c r="M16" s="48">
        <f>(K16-AC16)*100/AC16</f>
        <v>110.08870521290274</v>
      </c>
      <c r="N16" s="36">
        <v>45757</v>
      </c>
      <c r="O16" s="36">
        <v>67131</v>
      </c>
      <c r="P16" s="36">
        <v>126419</v>
      </c>
      <c r="Q16" s="36">
        <v>105034</v>
      </c>
      <c r="R16" s="36">
        <v>0</v>
      </c>
      <c r="S16" s="36">
        <v>165266</v>
      </c>
      <c r="T16" s="36">
        <v>220284</v>
      </c>
      <c r="U16" s="36">
        <v>400892</v>
      </c>
      <c r="V16" s="36">
        <v>506089</v>
      </c>
      <c r="W16" s="36">
        <v>458902</v>
      </c>
      <c r="X16" s="36">
        <v>449857</v>
      </c>
      <c r="Y16" s="36">
        <v>584576</v>
      </c>
      <c r="Z16" s="41">
        <v>663875</v>
      </c>
      <c r="AA16" s="78">
        <v>820639</v>
      </c>
      <c r="AB16" s="78">
        <v>864468</v>
      </c>
      <c r="AC16" s="78">
        <v>1114523</v>
      </c>
      <c r="AD16" s="78"/>
      <c r="AE16" s="92">
        <v>2198223.53</v>
      </c>
      <c r="AG16" s="30">
        <v>2082749</v>
      </c>
      <c r="AH16" s="30">
        <v>0</v>
      </c>
      <c r="AI16" s="30">
        <f>SUM(AG16:AH16)</f>
        <v>2082749</v>
      </c>
      <c r="AK16" s="92">
        <v>886193.46</v>
      </c>
      <c r="AL16" s="92">
        <v>1118917.56</v>
      </c>
      <c r="AM16" s="30">
        <f>SUM(AK16:AL16)</f>
        <v>2005111.02</v>
      </c>
      <c r="AO16" s="247">
        <v>896465.23</v>
      </c>
      <c r="AP16" s="3">
        <v>1121809.57</v>
      </c>
      <c r="AQ16" s="30">
        <f>SUM(AO16:AP16)</f>
        <v>2018274.8</v>
      </c>
      <c r="AS16" s="247">
        <v>1129176.77</v>
      </c>
      <c r="AT16" s="3">
        <v>30423</v>
      </c>
      <c r="AU16" s="30">
        <f>SUM(AS16:AT16)</f>
        <v>1159599.77</v>
      </c>
      <c r="AW16" s="128">
        <v>2422773.34</v>
      </c>
      <c r="AX16" s="128">
        <v>0</v>
      </c>
      <c r="AY16" s="30">
        <f>SUM(AW16:AX16)</f>
        <v>2422773.34</v>
      </c>
      <c r="BA16" s="287">
        <v>2341486.94</v>
      </c>
      <c r="BB16" s="128">
        <v>0</v>
      </c>
      <c r="BC16" s="30">
        <f>SUM(BA16:BB16)</f>
        <v>2341486.94</v>
      </c>
    </row>
    <row r="17" spans="1:54" ht="12.75">
      <c r="A17" s="1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48"/>
      <c r="M17" s="48"/>
      <c r="N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41"/>
      <c r="AA17" s="78"/>
      <c r="AB17" s="78"/>
      <c r="AC17" s="78"/>
      <c r="AD17" s="78"/>
      <c r="AE17" s="92"/>
      <c r="AK17" s="226"/>
      <c r="AL17" s="92"/>
      <c r="AO17" s="247"/>
      <c r="AP17" s="3"/>
      <c r="AS17" s="247"/>
      <c r="AT17" s="3"/>
      <c r="AW17" s="265"/>
      <c r="AX17" s="128"/>
      <c r="BA17" s="290"/>
      <c r="BB17" s="128"/>
    </row>
    <row r="18" spans="1:55" ht="12.75">
      <c r="A18" s="1" t="s">
        <v>11</v>
      </c>
      <c r="B18" s="308">
        <v>262868.63</v>
      </c>
      <c r="C18" s="308">
        <v>322174.26</v>
      </c>
      <c r="D18" s="308">
        <v>338090.18</v>
      </c>
      <c r="E18" s="308">
        <v>534149</v>
      </c>
      <c r="F18" s="308">
        <v>519727</v>
      </c>
      <c r="G18" s="308">
        <v>619944.1</v>
      </c>
      <c r="H18" s="308">
        <v>594956.27</v>
      </c>
      <c r="I18" s="308">
        <v>609174.85</v>
      </c>
      <c r="J18" s="308">
        <v>437126.73</v>
      </c>
      <c r="K18" s="308">
        <v>358685.87</v>
      </c>
      <c r="L18" s="245">
        <f>(K18-J18)*100/J18</f>
        <v>-17.944649598527178</v>
      </c>
      <c r="M18" s="48">
        <f>(K18-AC18)*100/AC18</f>
        <v>78.56350529936826</v>
      </c>
      <c r="N18" s="36">
        <v>121103</v>
      </c>
      <c r="O18" s="36">
        <v>184756</v>
      </c>
      <c r="P18" s="36">
        <v>250226</v>
      </c>
      <c r="Q18" s="36">
        <v>228941</v>
      </c>
      <c r="R18" s="36">
        <v>131956</v>
      </c>
      <c r="S18" s="36">
        <v>167079</v>
      </c>
      <c r="T18" s="36">
        <v>255893</v>
      </c>
      <c r="U18" s="36">
        <v>193436</v>
      </c>
      <c r="V18" s="36">
        <v>164788</v>
      </c>
      <c r="W18" s="36">
        <v>149508</v>
      </c>
      <c r="X18" s="36">
        <v>157339</v>
      </c>
      <c r="Y18" s="36">
        <v>143878</v>
      </c>
      <c r="Z18" s="41">
        <v>143053</v>
      </c>
      <c r="AA18" s="78">
        <v>199524</v>
      </c>
      <c r="AB18" s="78">
        <v>224303</v>
      </c>
      <c r="AC18" s="78">
        <v>200873</v>
      </c>
      <c r="AD18" s="78"/>
      <c r="AE18" s="92">
        <v>534149</v>
      </c>
      <c r="AG18" s="30">
        <v>365918</v>
      </c>
      <c r="AH18" s="30">
        <v>153809</v>
      </c>
      <c r="AI18" s="30">
        <f>SUM(AG18:AH18)</f>
        <v>519727</v>
      </c>
      <c r="AK18" s="92">
        <v>456856.1</v>
      </c>
      <c r="AL18" s="92">
        <v>163088</v>
      </c>
      <c r="AM18" s="30">
        <f>SUM(AK18:AL18)</f>
        <v>619944.1</v>
      </c>
      <c r="AO18" s="247">
        <v>409736.23</v>
      </c>
      <c r="AP18" s="3">
        <v>185220.04</v>
      </c>
      <c r="AQ18" s="30">
        <f>SUM(AO18:AP18)</f>
        <v>594956.27</v>
      </c>
      <c r="AS18" s="247">
        <v>371757.85</v>
      </c>
      <c r="AT18" s="3">
        <v>237417</v>
      </c>
      <c r="AU18" s="30">
        <f>SUM(AS18:AT18)</f>
        <v>609174.85</v>
      </c>
      <c r="AW18" s="128">
        <v>437126.73</v>
      </c>
      <c r="AX18" s="128">
        <v>0</v>
      </c>
      <c r="AY18" s="30">
        <f>SUM(AW18:AX18)</f>
        <v>437126.73</v>
      </c>
      <c r="BA18" s="287">
        <v>358685.87</v>
      </c>
      <c r="BB18" s="128">
        <v>0</v>
      </c>
      <c r="BC18" s="30">
        <f>SUM(BA18:BB18)</f>
        <v>358685.87</v>
      </c>
    </row>
    <row r="19" spans="1:55" ht="12.75">
      <c r="A19" s="1" t="s">
        <v>12</v>
      </c>
      <c r="B19" s="308">
        <v>4117736.74</v>
      </c>
      <c r="C19" s="308">
        <v>4687278.71</v>
      </c>
      <c r="D19" s="308">
        <v>5271942.49</v>
      </c>
      <c r="E19" s="308">
        <v>5352717.97</v>
      </c>
      <c r="F19" s="308">
        <v>6023256</v>
      </c>
      <c r="G19" s="308">
        <v>6435390.57</v>
      </c>
      <c r="H19" s="308">
        <v>6478287.35</v>
      </c>
      <c r="I19" s="308">
        <v>6887230.350000001</v>
      </c>
      <c r="J19" s="308">
        <v>8804352.58</v>
      </c>
      <c r="K19" s="308">
        <v>8280104.72</v>
      </c>
      <c r="L19" s="245">
        <f>(K19-J19)*100/J19</f>
        <v>-5.954416923180515</v>
      </c>
      <c r="M19" s="48">
        <f>(K19-AC19)*100/AC19</f>
        <v>154.4950142045149</v>
      </c>
      <c r="N19" s="36">
        <v>181781</v>
      </c>
      <c r="O19" s="36">
        <v>145083</v>
      </c>
      <c r="P19" s="36">
        <v>287239</v>
      </c>
      <c r="Q19" s="36">
        <v>390340</v>
      </c>
      <c r="R19" s="36">
        <v>484747</v>
      </c>
      <c r="S19" s="36">
        <v>1071070</v>
      </c>
      <c r="T19" s="36">
        <v>1309347</v>
      </c>
      <c r="U19" s="36">
        <v>1659865</v>
      </c>
      <c r="V19" s="36">
        <v>1765997</v>
      </c>
      <c r="W19" s="36">
        <v>1234230</v>
      </c>
      <c r="X19" s="36">
        <v>1513701</v>
      </c>
      <c r="Y19" s="36">
        <v>1453077</v>
      </c>
      <c r="Z19" s="41">
        <v>1538802</v>
      </c>
      <c r="AA19" s="78">
        <v>2127540</v>
      </c>
      <c r="AB19" s="78">
        <v>2884568</v>
      </c>
      <c r="AC19" s="78">
        <v>3253543</v>
      </c>
      <c r="AD19" s="78"/>
      <c r="AE19" s="92">
        <v>5352717.97</v>
      </c>
      <c r="AG19" s="30">
        <v>5974950</v>
      </c>
      <c r="AH19" s="30">
        <v>48306</v>
      </c>
      <c r="AI19" s="30">
        <f>SUM(AG19:AH19)</f>
        <v>6023256</v>
      </c>
      <c r="AK19" s="92">
        <v>6383567</v>
      </c>
      <c r="AL19" s="92">
        <v>51823.57</v>
      </c>
      <c r="AM19" s="30">
        <f>SUM(AK19:AL19)</f>
        <v>6435390.57</v>
      </c>
      <c r="AO19" s="247">
        <v>6437594.35</v>
      </c>
      <c r="AP19" s="3">
        <v>40693</v>
      </c>
      <c r="AQ19" s="30">
        <f>SUM(AO19:AP19)</f>
        <v>6478287.35</v>
      </c>
      <c r="AS19" s="247">
        <v>6874216.19</v>
      </c>
      <c r="AT19" s="3">
        <v>13014.16</v>
      </c>
      <c r="AU19" s="30">
        <f>SUM(AS19:AT19)</f>
        <v>6887230.350000001</v>
      </c>
      <c r="AW19" s="128">
        <v>8804352.58</v>
      </c>
      <c r="AX19" s="128">
        <v>0</v>
      </c>
      <c r="AY19" s="30">
        <f>SUM(AW19:AX19)</f>
        <v>8804352.58</v>
      </c>
      <c r="BA19" s="287">
        <v>8280104.72</v>
      </c>
      <c r="BB19" s="128">
        <v>0</v>
      </c>
      <c r="BC19" s="30">
        <f>SUM(BA19:BB19)</f>
        <v>8280104.72</v>
      </c>
    </row>
    <row r="20" spans="1:55" ht="12.75">
      <c r="A20" s="1" t="s">
        <v>13</v>
      </c>
      <c r="B20" s="308">
        <v>1341863.93</v>
      </c>
      <c r="C20" s="308">
        <v>1837268.47</v>
      </c>
      <c r="D20" s="308">
        <v>1996941.53</v>
      </c>
      <c r="E20" s="308">
        <v>2372012.69</v>
      </c>
      <c r="F20" s="308">
        <v>2693078</v>
      </c>
      <c r="G20" s="308">
        <v>3756440.4</v>
      </c>
      <c r="H20" s="308">
        <v>3726900.32</v>
      </c>
      <c r="I20" s="308">
        <v>4081479.09</v>
      </c>
      <c r="J20" s="308">
        <v>3543263.91</v>
      </c>
      <c r="K20" s="308">
        <v>3641145.42</v>
      </c>
      <c r="L20" s="245">
        <f>(K20-J20)*100/J20</f>
        <v>2.762467388436775</v>
      </c>
      <c r="M20" s="48">
        <f>(K20-AC20)*100/AC20</f>
        <v>311.72660681170566</v>
      </c>
      <c r="N20" s="36">
        <v>179330</v>
      </c>
      <c r="O20" s="36">
        <v>109835</v>
      </c>
      <c r="P20" s="36">
        <v>177766</v>
      </c>
      <c r="Q20" s="36">
        <v>253429</v>
      </c>
      <c r="R20" s="36">
        <v>320346</v>
      </c>
      <c r="S20" s="36">
        <v>307692</v>
      </c>
      <c r="T20" s="36">
        <v>425132</v>
      </c>
      <c r="U20" s="36">
        <v>452140</v>
      </c>
      <c r="V20" s="36">
        <v>539188</v>
      </c>
      <c r="W20" s="36">
        <v>497511</v>
      </c>
      <c r="X20" s="36">
        <v>431503</v>
      </c>
      <c r="Y20" s="36">
        <v>581970</v>
      </c>
      <c r="Z20" s="41">
        <v>721794</v>
      </c>
      <c r="AA20" s="78">
        <v>657215</v>
      </c>
      <c r="AB20" s="78">
        <v>723817</v>
      </c>
      <c r="AC20" s="78">
        <v>884360</v>
      </c>
      <c r="AD20" s="78"/>
      <c r="AE20" s="92">
        <v>2372012.69</v>
      </c>
      <c r="AG20" s="30">
        <v>2693078</v>
      </c>
      <c r="AH20" s="30">
        <v>0</v>
      </c>
      <c r="AI20" s="30">
        <f>SUM(AG20:AH20)</f>
        <v>2693078</v>
      </c>
      <c r="AK20" s="92">
        <v>3756440.4</v>
      </c>
      <c r="AL20" s="226">
        <v>0</v>
      </c>
      <c r="AM20" s="30">
        <f>SUM(AK20:AL20)</f>
        <v>3756440.4</v>
      </c>
      <c r="AO20" s="247">
        <v>3726900.32</v>
      </c>
      <c r="AP20" s="3">
        <v>0</v>
      </c>
      <c r="AQ20" s="30">
        <f>SUM(AO20:AP20)</f>
        <v>3726900.32</v>
      </c>
      <c r="AS20" s="247">
        <v>4081479.09</v>
      </c>
      <c r="AT20" s="3">
        <v>0</v>
      </c>
      <c r="AU20" s="30">
        <f>SUM(AS20:AT20)</f>
        <v>4081479.09</v>
      </c>
      <c r="AW20" s="128">
        <v>3543263.91</v>
      </c>
      <c r="AX20" s="128">
        <v>0</v>
      </c>
      <c r="AY20" s="30">
        <f>SUM(AW20:AX20)</f>
        <v>3543263.91</v>
      </c>
      <c r="BA20" s="287">
        <v>3641145.42</v>
      </c>
      <c r="BB20" s="128">
        <v>0</v>
      </c>
      <c r="BC20" s="30">
        <f>SUM(BA20:BB20)</f>
        <v>3641145.42</v>
      </c>
    </row>
    <row r="21" spans="1:55" ht="12.75">
      <c r="A21" s="1" t="s">
        <v>14</v>
      </c>
      <c r="B21" s="308">
        <v>2595986.17</v>
      </c>
      <c r="C21" s="308">
        <v>2422764.43</v>
      </c>
      <c r="D21" s="308">
        <v>2453526.58</v>
      </c>
      <c r="E21" s="308">
        <v>3038027.57</v>
      </c>
      <c r="F21" s="308">
        <v>3105690</v>
      </c>
      <c r="G21" s="308">
        <v>2703639.71</v>
      </c>
      <c r="H21" s="308">
        <v>2960669.83</v>
      </c>
      <c r="I21" s="308">
        <v>2925826.03</v>
      </c>
      <c r="J21" s="308">
        <v>2956789.26</v>
      </c>
      <c r="K21" s="308">
        <v>3308499.12</v>
      </c>
      <c r="L21" s="245">
        <f>(K21-J21)*100/J21</f>
        <v>11.894992475723493</v>
      </c>
      <c r="M21" s="48">
        <f>(K21-AC21)*100/AC21</f>
        <v>27.141504670246697</v>
      </c>
      <c r="N21" s="36">
        <v>150526</v>
      </c>
      <c r="O21" s="36">
        <v>94954</v>
      </c>
      <c r="P21" s="36">
        <v>215374</v>
      </c>
      <c r="Q21" s="36">
        <v>299312</v>
      </c>
      <c r="R21" s="36">
        <v>388379</v>
      </c>
      <c r="S21" s="36">
        <v>856539</v>
      </c>
      <c r="T21" s="36">
        <v>1094396</v>
      </c>
      <c r="U21" s="36">
        <v>1202585</v>
      </c>
      <c r="V21" s="36">
        <v>1083193</v>
      </c>
      <c r="W21" s="36">
        <v>1034116</v>
      </c>
      <c r="X21" s="36">
        <v>702142</v>
      </c>
      <c r="Y21" s="36">
        <v>1079942</v>
      </c>
      <c r="Z21" s="41">
        <v>1695340</v>
      </c>
      <c r="AA21" s="78">
        <v>2180167</v>
      </c>
      <c r="AB21" s="78">
        <v>1919332</v>
      </c>
      <c r="AC21" s="78">
        <v>2602218</v>
      </c>
      <c r="AD21" s="78"/>
      <c r="AE21" s="92">
        <v>3038027.57</v>
      </c>
      <c r="AG21" s="30">
        <v>2980146</v>
      </c>
      <c r="AH21" s="30">
        <v>125544</v>
      </c>
      <c r="AI21" s="30">
        <f>SUM(AG21:AH21)</f>
        <v>3105690</v>
      </c>
      <c r="AK21" s="92">
        <v>2665818.65</v>
      </c>
      <c r="AL21" s="92">
        <v>37821.06</v>
      </c>
      <c r="AM21" s="30">
        <f>SUM(AK21:AL21)</f>
        <v>2703639.71</v>
      </c>
      <c r="AO21" s="247">
        <v>2959419.83</v>
      </c>
      <c r="AP21" s="3">
        <v>1250</v>
      </c>
      <c r="AQ21" s="30">
        <f>SUM(AO21:AP21)</f>
        <v>2960669.83</v>
      </c>
      <c r="AS21" s="247">
        <v>2925826.03</v>
      </c>
      <c r="AT21" s="3">
        <v>0</v>
      </c>
      <c r="AU21" s="30">
        <f>SUM(AS21:AT21)</f>
        <v>2925826.03</v>
      </c>
      <c r="AW21" s="128">
        <v>2956789.26</v>
      </c>
      <c r="AX21" s="128">
        <v>0</v>
      </c>
      <c r="AY21" s="30">
        <f>SUM(AW21:AX21)</f>
        <v>2956789.26</v>
      </c>
      <c r="BA21" s="287">
        <v>3308499.12</v>
      </c>
      <c r="BB21" s="128">
        <v>0</v>
      </c>
      <c r="BC21" s="30">
        <f>SUM(BA21:BB21)</f>
        <v>3308499.12</v>
      </c>
    </row>
    <row r="22" spans="1:55" ht="12.75">
      <c r="A22" s="1" t="s">
        <v>15</v>
      </c>
      <c r="B22" s="309">
        <v>0</v>
      </c>
      <c r="C22" s="309">
        <v>0</v>
      </c>
      <c r="D22" s="309">
        <v>0</v>
      </c>
      <c r="E22" s="309">
        <v>0</v>
      </c>
      <c r="F22" s="309">
        <v>0</v>
      </c>
      <c r="G22" s="309">
        <v>0</v>
      </c>
      <c r="H22" s="309">
        <v>0</v>
      </c>
      <c r="I22" s="309">
        <v>0</v>
      </c>
      <c r="J22" s="309">
        <v>0</v>
      </c>
      <c r="K22" s="309">
        <v>0</v>
      </c>
      <c r="L22" s="249" t="s">
        <v>118</v>
      </c>
      <c r="M22" s="48">
        <f>(K22-AC22)*100/AC22</f>
        <v>-100</v>
      </c>
      <c r="N22" s="36">
        <v>48031</v>
      </c>
      <c r="O22" s="36">
        <v>49884</v>
      </c>
      <c r="P22" s="36">
        <v>4649</v>
      </c>
      <c r="Q22" s="36">
        <v>52811</v>
      </c>
      <c r="R22" s="36">
        <v>56187</v>
      </c>
      <c r="S22" s="36">
        <v>66560</v>
      </c>
      <c r="T22" s="36">
        <v>98653</v>
      </c>
      <c r="U22" s="36">
        <v>31491</v>
      </c>
      <c r="V22" s="41">
        <v>0</v>
      </c>
      <c r="W22" s="41">
        <v>0</v>
      </c>
      <c r="X22" s="36">
        <v>36257</v>
      </c>
      <c r="Y22" s="36">
        <v>9012</v>
      </c>
      <c r="Z22" s="41">
        <v>-17769</v>
      </c>
      <c r="AA22" s="78">
        <v>7883</v>
      </c>
      <c r="AB22" s="78">
        <v>70811</v>
      </c>
      <c r="AC22" s="78">
        <v>57045</v>
      </c>
      <c r="AD22" s="78"/>
      <c r="AE22" s="92">
        <v>0</v>
      </c>
      <c r="AG22" s="30">
        <v>0</v>
      </c>
      <c r="AH22" s="30">
        <v>0</v>
      </c>
      <c r="AI22" s="30">
        <f>SUM(AG22:AH22)</f>
        <v>0</v>
      </c>
      <c r="AK22" s="226">
        <v>0</v>
      </c>
      <c r="AL22" s="226">
        <v>0</v>
      </c>
      <c r="AM22" s="30">
        <f>SUM(AK22:AL22)</f>
        <v>0</v>
      </c>
      <c r="AO22" s="247">
        <v>0</v>
      </c>
      <c r="AP22" s="3">
        <v>0</v>
      </c>
      <c r="AQ22" s="30">
        <f>SUM(AO22:AP22)</f>
        <v>0</v>
      </c>
      <c r="AS22" s="247">
        <v>0</v>
      </c>
      <c r="AT22" s="3">
        <v>0</v>
      </c>
      <c r="AU22" s="30">
        <f>SUM(AS22:AT22)</f>
        <v>0</v>
      </c>
      <c r="AW22" s="128">
        <v>0</v>
      </c>
      <c r="AX22" s="128">
        <v>0</v>
      </c>
      <c r="AY22" s="30">
        <f>SUM(AW22:AX22)</f>
        <v>0</v>
      </c>
      <c r="BA22" s="287">
        <v>0</v>
      </c>
      <c r="BB22" s="128">
        <v>0</v>
      </c>
      <c r="BC22" s="30">
        <f>SUM(BA22:BB22)</f>
        <v>0</v>
      </c>
    </row>
    <row r="23" spans="1:54" ht="12.75">
      <c r="A23" s="1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48"/>
      <c r="M23" s="48"/>
      <c r="N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41"/>
      <c r="AA23" s="78"/>
      <c r="AB23" s="78"/>
      <c r="AC23" s="78"/>
      <c r="AD23" s="78"/>
      <c r="AE23" s="92"/>
      <c r="AK23" s="226"/>
      <c r="AL23" s="226"/>
      <c r="AO23" s="247"/>
      <c r="AP23" s="3"/>
      <c r="AS23" s="247"/>
      <c r="AT23" s="3"/>
      <c r="AW23" s="265"/>
      <c r="AX23" s="128"/>
      <c r="BA23" s="290"/>
      <c r="BB23" s="128"/>
    </row>
    <row r="24" spans="1:55" ht="12.75">
      <c r="A24" s="1" t="s">
        <v>16</v>
      </c>
      <c r="B24" s="308">
        <v>1686186.95</v>
      </c>
      <c r="C24" s="308">
        <v>1988703.58</v>
      </c>
      <c r="D24" s="308">
        <v>2629812.05</v>
      </c>
      <c r="E24" s="308">
        <v>3198938.99</v>
      </c>
      <c r="F24" s="308">
        <v>4028699</v>
      </c>
      <c r="G24" s="308">
        <v>4027647.78</v>
      </c>
      <c r="H24" s="308">
        <v>4206221.29</v>
      </c>
      <c r="I24" s="308">
        <v>5184362.46</v>
      </c>
      <c r="J24" s="308">
        <v>5986600.2</v>
      </c>
      <c r="K24" s="308">
        <v>5960383.15</v>
      </c>
      <c r="L24" s="245">
        <f>(K24-J24)*100/J24</f>
        <v>-0.43792885985604674</v>
      </c>
      <c r="M24" s="48">
        <f>(K24-AC24)*100/AC24</f>
        <v>163.79960087384643</v>
      </c>
      <c r="N24" s="36">
        <v>328177</v>
      </c>
      <c r="O24" s="36">
        <v>150315</v>
      </c>
      <c r="P24" s="36">
        <v>131216</v>
      </c>
      <c r="Q24" s="36">
        <v>268296</v>
      </c>
      <c r="R24" s="36">
        <v>332961</v>
      </c>
      <c r="S24" s="36">
        <v>624832</v>
      </c>
      <c r="T24" s="36">
        <v>435158</v>
      </c>
      <c r="U24" s="36">
        <v>421635</v>
      </c>
      <c r="V24" s="36">
        <v>497751</v>
      </c>
      <c r="W24" s="36">
        <v>1086657</v>
      </c>
      <c r="X24" s="36">
        <v>1247218</v>
      </c>
      <c r="Y24" s="36">
        <v>1426190</v>
      </c>
      <c r="Z24" s="41">
        <v>2605232</v>
      </c>
      <c r="AA24" s="78">
        <v>2549045</v>
      </c>
      <c r="AB24" s="78">
        <v>2562879</v>
      </c>
      <c r="AC24" s="78">
        <v>2259436</v>
      </c>
      <c r="AD24" s="78"/>
      <c r="AE24" s="92">
        <v>3198938.99</v>
      </c>
      <c r="AG24" s="30">
        <v>4028699</v>
      </c>
      <c r="AH24" s="30">
        <v>0</v>
      </c>
      <c r="AI24" s="30">
        <f>SUM(AG24:AH24)</f>
        <v>4028699</v>
      </c>
      <c r="AK24" s="92">
        <v>4027647.78</v>
      </c>
      <c r="AL24" s="92">
        <v>0</v>
      </c>
      <c r="AM24" s="30">
        <f>SUM(AK24:AL24)</f>
        <v>4027647.78</v>
      </c>
      <c r="AO24" s="247">
        <v>4206221.29</v>
      </c>
      <c r="AP24" s="3">
        <v>0</v>
      </c>
      <c r="AQ24" s="30">
        <f>SUM(AO24:AP24)</f>
        <v>4206221.29</v>
      </c>
      <c r="AS24" s="247">
        <v>5184362.46</v>
      </c>
      <c r="AT24" s="3">
        <v>0</v>
      </c>
      <c r="AU24" s="30">
        <f>SUM(AS24:AT24)</f>
        <v>5184362.46</v>
      </c>
      <c r="AW24" s="128">
        <v>5986600.2</v>
      </c>
      <c r="AX24" s="128">
        <v>0</v>
      </c>
      <c r="AY24" s="30">
        <f>SUM(AW24:AX24)</f>
        <v>5986600.2</v>
      </c>
      <c r="BA24" s="287">
        <v>5960383.15</v>
      </c>
      <c r="BB24" s="128">
        <v>0</v>
      </c>
      <c r="BC24" s="30">
        <f>SUM(BA24:BB24)</f>
        <v>5960383.15</v>
      </c>
    </row>
    <row r="25" spans="1:55" ht="12.75">
      <c r="A25" s="1" t="s">
        <v>17</v>
      </c>
      <c r="B25" s="308">
        <v>100947.23</v>
      </c>
      <c r="C25" s="308">
        <v>110086.24</v>
      </c>
      <c r="D25" s="308">
        <v>147840.74</v>
      </c>
      <c r="E25" s="308">
        <v>176852.13</v>
      </c>
      <c r="F25" s="308">
        <v>206745</v>
      </c>
      <c r="G25" s="308">
        <v>265347.88</v>
      </c>
      <c r="H25" s="308">
        <v>415119.86</v>
      </c>
      <c r="I25" s="308">
        <v>555015.42</v>
      </c>
      <c r="J25" s="308">
        <v>585277.53</v>
      </c>
      <c r="K25" s="308">
        <v>771348.01</v>
      </c>
      <c r="L25" s="245">
        <f>(K25-J25)*100/J25</f>
        <v>31.79183728444179</v>
      </c>
      <c r="M25" s="249" t="s">
        <v>118</v>
      </c>
      <c r="N25" s="36">
        <v>43595</v>
      </c>
      <c r="O25" s="36">
        <v>46144</v>
      </c>
      <c r="P25" s="36">
        <v>44081</v>
      </c>
      <c r="Q25" s="36">
        <v>26444</v>
      </c>
      <c r="R25" s="36">
        <v>37515</v>
      </c>
      <c r="S25" s="36">
        <v>64595</v>
      </c>
      <c r="T25" s="36">
        <v>140928</v>
      </c>
      <c r="U25" s="36">
        <v>50012</v>
      </c>
      <c r="V25" s="36">
        <v>55643</v>
      </c>
      <c r="W25" s="36">
        <v>36456</v>
      </c>
      <c r="X25" s="36">
        <v>136142</v>
      </c>
      <c r="Y25" s="36">
        <v>145987</v>
      </c>
      <c r="Z25" s="41">
        <v>22079</v>
      </c>
      <c r="AA25" s="78">
        <v>34624</v>
      </c>
      <c r="AB25" s="78">
        <v>80166</v>
      </c>
      <c r="AC25" s="157">
        <v>0</v>
      </c>
      <c r="AD25" s="157"/>
      <c r="AE25" s="92">
        <v>176852.13</v>
      </c>
      <c r="AG25" s="30">
        <v>206745</v>
      </c>
      <c r="AH25" s="30">
        <v>0</v>
      </c>
      <c r="AI25" s="30">
        <f>SUM(AG25:AH25)</f>
        <v>206745</v>
      </c>
      <c r="AK25" s="92">
        <v>258943.66</v>
      </c>
      <c r="AL25" s="92">
        <v>6404.22</v>
      </c>
      <c r="AM25" s="30">
        <f>SUM(AK25:AL25)</f>
        <v>265347.88</v>
      </c>
      <c r="AO25" s="247">
        <v>415119.86</v>
      </c>
      <c r="AP25" s="3">
        <v>0</v>
      </c>
      <c r="AQ25" s="30">
        <f>SUM(AO25:AP25)</f>
        <v>415119.86</v>
      </c>
      <c r="AS25" s="247">
        <v>555015.42</v>
      </c>
      <c r="AT25" s="3">
        <v>0</v>
      </c>
      <c r="AU25" s="30">
        <f>SUM(AS25:AT25)</f>
        <v>555015.42</v>
      </c>
      <c r="AW25" s="128">
        <v>585277.53</v>
      </c>
      <c r="AX25" s="128">
        <v>0</v>
      </c>
      <c r="AY25" s="30">
        <f>SUM(AW25:AX25)</f>
        <v>585277.53</v>
      </c>
      <c r="BA25" s="287">
        <v>771348.01</v>
      </c>
      <c r="BB25" s="128">
        <v>0</v>
      </c>
      <c r="BC25" s="30">
        <f>SUM(BA25:BB25)</f>
        <v>771348.01</v>
      </c>
    </row>
    <row r="26" spans="1:55" ht="12.75">
      <c r="A26" s="1" t="s">
        <v>18</v>
      </c>
      <c r="B26" s="308">
        <v>4067039.94</v>
      </c>
      <c r="C26" s="308">
        <v>4825533.19</v>
      </c>
      <c r="D26" s="308">
        <v>5671475</v>
      </c>
      <c r="E26" s="308">
        <v>6673444</v>
      </c>
      <c r="F26" s="308">
        <v>7151683</v>
      </c>
      <c r="G26" s="308">
        <v>8289305</v>
      </c>
      <c r="H26" s="308">
        <v>9272055.379999999</v>
      </c>
      <c r="I26" s="308">
        <v>9548022.84</v>
      </c>
      <c r="J26" s="308">
        <v>10572669.190000001</v>
      </c>
      <c r="K26" s="308">
        <v>10417298.17</v>
      </c>
      <c r="L26" s="245">
        <f>(K26-J26)*100/J26</f>
        <v>-1.4695534042335945</v>
      </c>
      <c r="M26" s="48">
        <f>(K26-AC26)*100/AC26</f>
        <v>200.41411868454853</v>
      </c>
      <c r="N26" s="36">
        <v>411710</v>
      </c>
      <c r="O26" s="36">
        <v>507120</v>
      </c>
      <c r="P26" s="36">
        <v>541671</v>
      </c>
      <c r="Q26" s="36">
        <v>530262</v>
      </c>
      <c r="R26" s="36">
        <v>531444</v>
      </c>
      <c r="S26" s="36">
        <v>1102569</v>
      </c>
      <c r="T26" s="36">
        <v>1285983</v>
      </c>
      <c r="U26" s="36">
        <v>1930766</v>
      </c>
      <c r="V26" s="36">
        <v>1591834</v>
      </c>
      <c r="W26" s="36">
        <v>1211765</v>
      </c>
      <c r="X26" s="36">
        <v>1361041</v>
      </c>
      <c r="Y26" s="36">
        <v>2303965</v>
      </c>
      <c r="Z26" s="41">
        <v>2921430</v>
      </c>
      <c r="AA26" s="78">
        <v>3106594</v>
      </c>
      <c r="AB26" s="78">
        <v>3146102</v>
      </c>
      <c r="AC26" s="78">
        <v>3467646</v>
      </c>
      <c r="AD26" s="78"/>
      <c r="AE26" s="92">
        <v>6673444</v>
      </c>
      <c r="AG26" s="30">
        <v>7151683</v>
      </c>
      <c r="AH26" s="30">
        <v>0</v>
      </c>
      <c r="AI26" s="30">
        <f>SUM(AG26:AH26)</f>
        <v>7151683</v>
      </c>
      <c r="AK26" s="92">
        <v>8289305</v>
      </c>
      <c r="AL26" s="226">
        <v>0</v>
      </c>
      <c r="AM26" s="30">
        <f>SUM(AK26:AL26)</f>
        <v>8289305</v>
      </c>
      <c r="AO26" s="247">
        <v>9272055.379999999</v>
      </c>
      <c r="AP26" s="3">
        <v>0</v>
      </c>
      <c r="AQ26" s="30">
        <f>SUM(AO26:AP26)</f>
        <v>9272055.379999999</v>
      </c>
      <c r="AS26" s="247">
        <v>9548022.84</v>
      </c>
      <c r="AT26" s="3">
        <v>0</v>
      </c>
      <c r="AU26" s="30">
        <f>SUM(AS26:AT26)</f>
        <v>9548022.84</v>
      </c>
      <c r="AW26" s="128">
        <v>10572669.190000001</v>
      </c>
      <c r="AX26" s="128">
        <v>0</v>
      </c>
      <c r="AY26" s="30">
        <f>SUM(AW26:AX26)</f>
        <v>10572669.190000001</v>
      </c>
      <c r="BA26" s="287">
        <v>10417298.17</v>
      </c>
      <c r="BB26" s="128">
        <v>0</v>
      </c>
      <c r="BC26" s="30">
        <f>SUM(BA26:BB26)</f>
        <v>10417298.17</v>
      </c>
    </row>
    <row r="27" spans="1:55" ht="12.75">
      <c r="A27" s="1" t="s">
        <v>19</v>
      </c>
      <c r="B27" s="308">
        <v>5489616</v>
      </c>
      <c r="C27" s="308">
        <v>3145354.99</v>
      </c>
      <c r="D27" s="308">
        <v>7540486</v>
      </c>
      <c r="E27" s="308">
        <v>8231032</v>
      </c>
      <c r="F27" s="308">
        <v>4171756</v>
      </c>
      <c r="G27" s="308">
        <v>7211097</v>
      </c>
      <c r="H27" s="308">
        <v>7226502.4</v>
      </c>
      <c r="I27" s="308">
        <v>7469855.13</v>
      </c>
      <c r="J27" s="308">
        <v>8430665.35</v>
      </c>
      <c r="K27" s="308">
        <v>8987678.09</v>
      </c>
      <c r="L27" s="245">
        <f>(K27-J27)*100/J27</f>
        <v>6.606984346733681</v>
      </c>
      <c r="M27" s="48">
        <f>(K27-AC27)*100/AC27</f>
        <v>92.4198690693036</v>
      </c>
      <c r="N27" s="36">
        <v>606739</v>
      </c>
      <c r="O27" s="36">
        <v>686639</v>
      </c>
      <c r="P27" s="36">
        <v>761930</v>
      </c>
      <c r="Q27" s="36">
        <v>1525385</v>
      </c>
      <c r="R27" s="36">
        <v>832944</v>
      </c>
      <c r="S27" s="36">
        <v>2888853</v>
      </c>
      <c r="T27" s="36">
        <v>2658892</v>
      </c>
      <c r="U27" s="36">
        <v>2581864</v>
      </c>
      <c r="V27" s="36">
        <v>2583143</v>
      </c>
      <c r="W27" s="36">
        <v>2740671</v>
      </c>
      <c r="X27" s="36">
        <v>2508611</v>
      </c>
      <c r="Y27" s="36">
        <v>2830848</v>
      </c>
      <c r="Z27" s="41">
        <v>2825398</v>
      </c>
      <c r="AA27" s="78">
        <v>42514</v>
      </c>
      <c r="AB27" s="157">
        <v>0</v>
      </c>
      <c r="AC27" s="78">
        <v>4670868</v>
      </c>
      <c r="AD27" s="78"/>
      <c r="AE27" s="92">
        <v>8231032</v>
      </c>
      <c r="AG27" s="30">
        <v>4143873.07</v>
      </c>
      <c r="AH27" s="30">
        <v>27882.5</v>
      </c>
      <c r="AI27" s="30">
        <f>SUM(AG27:AH27)</f>
        <v>4171755.57</v>
      </c>
      <c r="AK27" s="92">
        <v>20251</v>
      </c>
      <c r="AL27" s="92">
        <v>7190846</v>
      </c>
      <c r="AM27" s="30">
        <f>SUM(AK27:AL27)</f>
        <v>7211097</v>
      </c>
      <c r="AO27" s="247">
        <v>3335234.4</v>
      </c>
      <c r="AP27" s="3">
        <v>3891268</v>
      </c>
      <c r="AQ27" s="30">
        <f>SUM(AO27:AP27)</f>
        <v>7226502.4</v>
      </c>
      <c r="AS27" s="247">
        <v>2884203.13</v>
      </c>
      <c r="AT27" s="3">
        <v>4585652</v>
      </c>
      <c r="AU27" s="30">
        <f>SUM(AS27:AT27)</f>
        <v>7469855.13</v>
      </c>
      <c r="AW27" s="128">
        <v>8430665.35</v>
      </c>
      <c r="AX27" s="128">
        <v>0</v>
      </c>
      <c r="AY27" s="30">
        <f>SUM(AW27:AX27)</f>
        <v>8430665.35</v>
      </c>
      <c r="BA27" s="287">
        <v>8987678.09</v>
      </c>
      <c r="BB27" s="128">
        <v>0</v>
      </c>
      <c r="BC27" s="30">
        <f>SUM(BA27:BB27)</f>
        <v>8987678.09</v>
      </c>
    </row>
    <row r="28" spans="1:55" ht="12.75">
      <c r="A28" s="1" t="s">
        <v>20</v>
      </c>
      <c r="B28" s="308">
        <v>27250</v>
      </c>
      <c r="C28" s="308">
        <v>101585</v>
      </c>
      <c r="D28" s="308">
        <v>65223</v>
      </c>
      <c r="E28" s="308">
        <v>63179</v>
      </c>
      <c r="F28" s="308">
        <v>56897</v>
      </c>
      <c r="G28" s="308">
        <v>125223</v>
      </c>
      <c r="H28" s="308">
        <v>139219</v>
      </c>
      <c r="I28" s="308">
        <v>20207</v>
      </c>
      <c r="J28" s="308">
        <v>21705</v>
      </c>
      <c r="K28" s="308">
        <v>39374.009999999995</v>
      </c>
      <c r="L28" s="245">
        <f>(K28-J28)*100/J28</f>
        <v>81.40525224602624</v>
      </c>
      <c r="M28" s="48">
        <f>(K28-AC28)*100/AC28</f>
        <v>-27.367625899280583</v>
      </c>
      <c r="N28" s="36">
        <v>34080</v>
      </c>
      <c r="O28" s="36">
        <v>13038</v>
      </c>
      <c r="P28" s="36">
        <v>15000</v>
      </c>
      <c r="Q28" s="36">
        <v>18253</v>
      </c>
      <c r="R28" s="36">
        <v>43395</v>
      </c>
      <c r="S28" s="36">
        <v>30650</v>
      </c>
      <c r="T28" s="36">
        <v>62989</v>
      </c>
      <c r="U28" s="36">
        <v>10081</v>
      </c>
      <c r="V28" s="36">
        <v>15044</v>
      </c>
      <c r="W28" s="36">
        <v>15088</v>
      </c>
      <c r="X28" s="36">
        <v>22870</v>
      </c>
      <c r="Y28" s="36">
        <v>33411</v>
      </c>
      <c r="Z28" s="41">
        <v>37208</v>
      </c>
      <c r="AA28" s="78">
        <v>70149</v>
      </c>
      <c r="AB28" s="78">
        <v>35524</v>
      </c>
      <c r="AC28" s="78">
        <v>54210</v>
      </c>
      <c r="AD28" s="78"/>
      <c r="AE28" s="92">
        <v>63179</v>
      </c>
      <c r="AG28" s="30">
        <v>0</v>
      </c>
      <c r="AH28" s="30">
        <v>56897</v>
      </c>
      <c r="AI28" s="30">
        <f>SUM(AG28:AH28)</f>
        <v>56897</v>
      </c>
      <c r="AK28" s="92">
        <v>14833</v>
      </c>
      <c r="AL28" s="92">
        <v>110390</v>
      </c>
      <c r="AM28" s="30">
        <f>SUM(AK28:AL28)</f>
        <v>125223</v>
      </c>
      <c r="AO28" s="247">
        <v>0</v>
      </c>
      <c r="AP28" s="3">
        <v>139219</v>
      </c>
      <c r="AQ28" s="30">
        <f>SUM(AO28:AP28)</f>
        <v>139219</v>
      </c>
      <c r="AS28" s="247">
        <v>0</v>
      </c>
      <c r="AT28" s="3">
        <v>20207</v>
      </c>
      <c r="AU28" s="30">
        <f>SUM(AS28:AT28)</f>
        <v>20207</v>
      </c>
      <c r="AW28" s="128">
        <v>21705</v>
      </c>
      <c r="AX28" s="128">
        <v>0</v>
      </c>
      <c r="AY28" s="30">
        <f>SUM(AW28:AX28)</f>
        <v>21705</v>
      </c>
      <c r="BA28" s="287">
        <v>39374.009999999995</v>
      </c>
      <c r="BB28" s="128">
        <v>0</v>
      </c>
      <c r="BC28" s="30">
        <f>SUM(BA28:BB28)</f>
        <v>39374.009999999995</v>
      </c>
    </row>
    <row r="29" spans="1:54" ht="12.75">
      <c r="A29" s="1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48"/>
      <c r="M29" s="48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41"/>
      <c r="AA29" s="3"/>
      <c r="AB29" s="78"/>
      <c r="AC29" s="78"/>
      <c r="AD29" s="78"/>
      <c r="AE29" s="92"/>
      <c r="AK29" s="92"/>
      <c r="AL29" s="92"/>
      <c r="AO29" s="247"/>
      <c r="AP29" s="3"/>
      <c r="AS29" s="247"/>
      <c r="AT29" s="3"/>
      <c r="AW29" s="265"/>
      <c r="AX29" s="128"/>
      <c r="BA29" s="290"/>
      <c r="BB29" s="128"/>
    </row>
    <row r="30" spans="1:55" ht="12.75">
      <c r="A30" s="1" t="s">
        <v>21</v>
      </c>
      <c r="B30" s="308">
        <v>20044203</v>
      </c>
      <c r="C30" s="308">
        <v>24852540</v>
      </c>
      <c r="D30" s="308">
        <v>29673573</v>
      </c>
      <c r="E30" s="308">
        <v>29381340</v>
      </c>
      <c r="F30" s="308">
        <v>31019017</v>
      </c>
      <c r="G30" s="308">
        <v>31359590</v>
      </c>
      <c r="H30" s="308">
        <v>33050703.27</v>
      </c>
      <c r="I30" s="308">
        <v>37759535.11</v>
      </c>
      <c r="J30" s="308">
        <v>40719695.34</v>
      </c>
      <c r="K30" s="308">
        <v>35385058.839999996</v>
      </c>
      <c r="L30" s="245">
        <f>(K30-J30)*100/J30</f>
        <v>-13.100875277815884</v>
      </c>
      <c r="M30" s="48">
        <f>(K30-AC30)*100/AC30</f>
        <v>86.92893642973982</v>
      </c>
      <c r="N30" s="36">
        <v>5799578</v>
      </c>
      <c r="O30" s="36">
        <v>6222306</v>
      </c>
      <c r="P30" s="36">
        <v>7063556</v>
      </c>
      <c r="Q30" s="36">
        <v>8277745</v>
      </c>
      <c r="R30" s="36">
        <v>9004374</v>
      </c>
      <c r="S30" s="36">
        <v>10729839</v>
      </c>
      <c r="T30" s="36">
        <v>12542026</v>
      </c>
      <c r="U30" s="36">
        <v>13840827</v>
      </c>
      <c r="V30" s="36">
        <v>14781298</v>
      </c>
      <c r="W30" s="36">
        <v>17753000</v>
      </c>
      <c r="X30" s="36">
        <v>19173780</v>
      </c>
      <c r="Y30" s="36">
        <v>20080952</v>
      </c>
      <c r="Z30" s="41">
        <v>19714560</v>
      </c>
      <c r="AA30" s="30">
        <v>17383405</v>
      </c>
      <c r="AB30" s="78">
        <v>18369620</v>
      </c>
      <c r="AC30" s="78">
        <v>18929685</v>
      </c>
      <c r="AD30" s="78"/>
      <c r="AE30" s="92">
        <v>29381340</v>
      </c>
      <c r="AG30" s="30">
        <v>30927436</v>
      </c>
      <c r="AH30" s="30">
        <v>91581</v>
      </c>
      <c r="AI30" s="30">
        <f>SUM(AG30:AH30)</f>
        <v>31019017</v>
      </c>
      <c r="AK30" s="92">
        <v>31259394</v>
      </c>
      <c r="AL30" s="92">
        <v>100196</v>
      </c>
      <c r="AM30" s="30">
        <f>SUM(AK30:AL30)</f>
        <v>31359590</v>
      </c>
      <c r="AO30" s="247">
        <v>32941497.83</v>
      </c>
      <c r="AP30" s="3">
        <v>109205.44</v>
      </c>
      <c r="AQ30" s="30">
        <f>SUM(AO30:AP30)</f>
        <v>33050703.27</v>
      </c>
      <c r="AS30" s="247">
        <v>37656847.95</v>
      </c>
      <c r="AT30" s="3">
        <v>102687.16</v>
      </c>
      <c r="AU30" s="30">
        <f>SUM(AS30:AT30)</f>
        <v>37759535.11</v>
      </c>
      <c r="AW30" s="128">
        <v>40719695.34</v>
      </c>
      <c r="AX30" s="128">
        <v>0</v>
      </c>
      <c r="AY30" s="30">
        <f>SUM(AW30:AX30)</f>
        <v>40719695.34</v>
      </c>
      <c r="BA30" s="287">
        <v>35385058.839999996</v>
      </c>
      <c r="BB30" s="128">
        <v>0</v>
      </c>
      <c r="BC30" s="30">
        <f>SUM(BA30:BB30)</f>
        <v>35385058.839999996</v>
      </c>
    </row>
    <row r="31" spans="1:55" ht="12.75">
      <c r="A31" s="1" t="s">
        <v>22</v>
      </c>
      <c r="B31" s="308">
        <v>37365921</v>
      </c>
      <c r="C31" s="308">
        <v>42537599</v>
      </c>
      <c r="D31" s="308">
        <v>47184734</v>
      </c>
      <c r="E31" s="308">
        <v>47828432</v>
      </c>
      <c r="F31" s="308">
        <v>50889116</v>
      </c>
      <c r="G31" s="308">
        <v>56768991</v>
      </c>
      <c r="H31" s="308">
        <v>55443706.79</v>
      </c>
      <c r="I31" s="308">
        <v>57061689.85</v>
      </c>
      <c r="J31" s="308">
        <v>57461907.78</v>
      </c>
      <c r="K31" s="308">
        <v>55386735.23</v>
      </c>
      <c r="L31" s="245">
        <f>(K31-J31)*100/J31</f>
        <v>-3.6113881877104714</v>
      </c>
      <c r="M31" s="48">
        <f>(K31-AC31)*100/AC31</f>
        <v>51.5150282141223</v>
      </c>
      <c r="N31" s="36">
        <v>2700637</v>
      </c>
      <c r="O31" s="36">
        <v>3346119</v>
      </c>
      <c r="P31" s="36">
        <v>4673824</v>
      </c>
      <c r="Q31" s="36">
        <v>6427852</v>
      </c>
      <c r="R31" s="36">
        <v>7907276</v>
      </c>
      <c r="S31" s="36">
        <v>9832657</v>
      </c>
      <c r="T31" s="36">
        <v>13519630</v>
      </c>
      <c r="U31" s="36">
        <v>15319170</v>
      </c>
      <c r="V31" s="36">
        <v>15774410</v>
      </c>
      <c r="W31" s="36">
        <v>17849810</v>
      </c>
      <c r="X31" s="36">
        <v>20724566</v>
      </c>
      <c r="Y31" s="36">
        <v>22761440</v>
      </c>
      <c r="Z31" s="41">
        <v>24630996</v>
      </c>
      <c r="AA31" s="30">
        <v>28849186</v>
      </c>
      <c r="AB31" s="78">
        <v>32255290</v>
      </c>
      <c r="AC31" s="78">
        <v>36555275</v>
      </c>
      <c r="AD31" s="78"/>
      <c r="AE31" s="92">
        <v>47828432</v>
      </c>
      <c r="AG31" s="30">
        <v>50889116</v>
      </c>
      <c r="AH31" s="30">
        <v>0</v>
      </c>
      <c r="AI31" s="30">
        <f>SUM(AG31:AH31)</f>
        <v>50889116</v>
      </c>
      <c r="AK31" s="92">
        <v>56768991</v>
      </c>
      <c r="AL31" s="226">
        <v>0</v>
      </c>
      <c r="AM31" s="30">
        <f>SUM(AK31:AL31)</f>
        <v>56768991</v>
      </c>
      <c r="AO31" s="247">
        <v>55443706.79</v>
      </c>
      <c r="AP31" s="3">
        <v>0</v>
      </c>
      <c r="AQ31" s="30">
        <f>SUM(AO31:AP31)</f>
        <v>55443706.79</v>
      </c>
      <c r="AS31" s="247">
        <v>57061689.85</v>
      </c>
      <c r="AT31" s="3">
        <v>0</v>
      </c>
      <c r="AU31" s="30">
        <f>SUM(AS31:AT31)</f>
        <v>57061689.85</v>
      </c>
      <c r="AW31" s="128">
        <v>57461907.78</v>
      </c>
      <c r="AX31" s="128">
        <v>0</v>
      </c>
      <c r="AY31" s="30">
        <f>SUM(AW31:AX31)</f>
        <v>57461907.78</v>
      </c>
      <c r="BA31" s="287">
        <v>55386735.23</v>
      </c>
      <c r="BB31" s="128">
        <v>0</v>
      </c>
      <c r="BC31" s="30">
        <f>SUM(BA31:BB31)</f>
        <v>55386735.23</v>
      </c>
    </row>
    <row r="32" spans="1:55" ht="12.75">
      <c r="A32" s="1" t="s">
        <v>23</v>
      </c>
      <c r="B32" s="308">
        <v>410242.65</v>
      </c>
      <c r="C32" s="308">
        <v>486535.77</v>
      </c>
      <c r="D32" s="308">
        <v>510747.9</v>
      </c>
      <c r="E32" s="308">
        <v>748786.09</v>
      </c>
      <c r="F32" s="308">
        <v>947180</v>
      </c>
      <c r="G32" s="308">
        <v>733942.51</v>
      </c>
      <c r="H32" s="308">
        <v>781392.16</v>
      </c>
      <c r="I32" s="308">
        <v>699281.7</v>
      </c>
      <c r="J32" s="308">
        <v>596586.29</v>
      </c>
      <c r="K32" s="308">
        <v>498307.01</v>
      </c>
      <c r="L32" s="245">
        <f>(K32-J32)*100/J32</f>
        <v>-16.47360686079461</v>
      </c>
      <c r="M32" s="48">
        <f>(K32-AC32)*100/AC32</f>
        <v>-3.2394784364744926</v>
      </c>
      <c r="N32" s="36">
        <v>0</v>
      </c>
      <c r="O32" s="36">
        <v>10337</v>
      </c>
      <c r="P32" s="36">
        <v>0</v>
      </c>
      <c r="Q32" s="36">
        <v>1600</v>
      </c>
      <c r="R32" s="36">
        <v>0</v>
      </c>
      <c r="S32" s="36">
        <v>435053</v>
      </c>
      <c r="T32" s="36">
        <v>302315</v>
      </c>
      <c r="U32" s="36">
        <v>636028</v>
      </c>
      <c r="V32" s="41">
        <v>0</v>
      </c>
      <c r="W32" s="41">
        <v>0</v>
      </c>
      <c r="X32" s="36">
        <v>283125</v>
      </c>
      <c r="Y32" s="41">
        <v>0</v>
      </c>
      <c r="Z32" s="41">
        <v>121000</v>
      </c>
      <c r="AA32" s="78">
        <v>709327</v>
      </c>
      <c r="AB32" s="78">
        <v>609990</v>
      </c>
      <c r="AC32" s="78">
        <v>514990</v>
      </c>
      <c r="AD32" s="78"/>
      <c r="AE32" s="92">
        <v>748786.09</v>
      </c>
      <c r="AG32" s="30">
        <v>947180</v>
      </c>
      <c r="AH32" s="30">
        <v>0</v>
      </c>
      <c r="AI32" s="30">
        <f>SUM(AG32:AH32)</f>
        <v>947180</v>
      </c>
      <c r="AK32" s="92">
        <v>733942.51</v>
      </c>
      <c r="AL32" s="226">
        <v>0</v>
      </c>
      <c r="AM32" s="30">
        <f>SUM(AK32:AL32)</f>
        <v>733942.51</v>
      </c>
      <c r="AO32" s="247">
        <v>0</v>
      </c>
      <c r="AP32" s="3">
        <v>781392.16</v>
      </c>
      <c r="AQ32" s="30">
        <f>SUM(AO32:AP32)</f>
        <v>781392.16</v>
      </c>
      <c r="AS32" s="247">
        <v>699281.7</v>
      </c>
      <c r="AT32" s="3">
        <v>0</v>
      </c>
      <c r="AU32" s="30">
        <f>SUM(AS32:AT32)</f>
        <v>699281.7</v>
      </c>
      <c r="AW32" s="128">
        <v>596586.29</v>
      </c>
      <c r="AX32" s="128">
        <v>0</v>
      </c>
      <c r="AY32" s="30">
        <f>SUM(AW32:AX32)</f>
        <v>596586.29</v>
      </c>
      <c r="BA32" s="287">
        <v>498307.01</v>
      </c>
      <c r="BB32" s="128">
        <v>0</v>
      </c>
      <c r="BC32" s="30">
        <f>SUM(BA32:BB32)</f>
        <v>498307.01</v>
      </c>
    </row>
    <row r="33" spans="1:55" ht="12.75">
      <c r="A33" s="1" t="s">
        <v>24</v>
      </c>
      <c r="B33" s="308">
        <v>835864.66</v>
      </c>
      <c r="C33" s="308">
        <v>1043329.92</v>
      </c>
      <c r="D33" s="308">
        <v>1487632.99</v>
      </c>
      <c r="E33" s="308">
        <v>1373877.74</v>
      </c>
      <c r="F33" s="308">
        <v>1659207</v>
      </c>
      <c r="G33" s="308">
        <v>1880338.51</v>
      </c>
      <c r="H33" s="308">
        <v>2269863.74</v>
      </c>
      <c r="I33" s="308">
        <v>1453267.11</v>
      </c>
      <c r="J33" s="308">
        <v>1765943.8</v>
      </c>
      <c r="K33" s="308">
        <v>1468435.54</v>
      </c>
      <c r="L33" s="245">
        <f>(K33-J33)*100/J33</f>
        <v>-16.846983465725238</v>
      </c>
      <c r="M33" s="48">
        <f>(K33-AC33)*100/AC33</f>
        <v>95.87994306759988</v>
      </c>
      <c r="N33" s="36">
        <v>41512</v>
      </c>
      <c r="O33" s="36">
        <v>0</v>
      </c>
      <c r="P33" s="36">
        <v>95220</v>
      </c>
      <c r="Q33" s="36">
        <v>232305</v>
      </c>
      <c r="R33" s="36">
        <v>297955</v>
      </c>
      <c r="S33" s="36">
        <v>365209</v>
      </c>
      <c r="T33" s="36">
        <v>446914</v>
      </c>
      <c r="U33" s="36">
        <v>646917</v>
      </c>
      <c r="V33" s="36">
        <v>696876</v>
      </c>
      <c r="W33" s="36">
        <v>559530</v>
      </c>
      <c r="X33" s="36">
        <v>790806</v>
      </c>
      <c r="Y33" s="36">
        <v>713350</v>
      </c>
      <c r="Z33" s="41">
        <v>709701</v>
      </c>
      <c r="AA33" s="78">
        <v>736769</v>
      </c>
      <c r="AB33" s="78">
        <v>763189</v>
      </c>
      <c r="AC33" s="78">
        <v>749661</v>
      </c>
      <c r="AD33" s="78"/>
      <c r="AE33" s="92">
        <v>1373877.74</v>
      </c>
      <c r="AG33" s="30">
        <v>1659207</v>
      </c>
      <c r="AH33" s="30">
        <v>0</v>
      </c>
      <c r="AI33" s="30">
        <f>SUM(AG33:AH33)</f>
        <v>1659207</v>
      </c>
      <c r="AK33" s="92">
        <v>1846417.51</v>
      </c>
      <c r="AL33" s="92">
        <v>33921</v>
      </c>
      <c r="AM33" s="30">
        <f>SUM(AK33:AL33)</f>
        <v>1880338.51</v>
      </c>
      <c r="AO33" s="247">
        <v>1746423.61</v>
      </c>
      <c r="AP33" s="3">
        <v>523440.13</v>
      </c>
      <c r="AQ33" s="30">
        <f>SUM(AO33:AP33)</f>
        <v>2269863.74</v>
      </c>
      <c r="AS33" s="247">
        <v>1360022.76</v>
      </c>
      <c r="AT33" s="3">
        <v>93244.35</v>
      </c>
      <c r="AU33" s="30">
        <f>SUM(AS33:AT33)</f>
        <v>1453267.11</v>
      </c>
      <c r="AW33" s="128">
        <v>1765943.8</v>
      </c>
      <c r="AX33" s="128">
        <v>0</v>
      </c>
      <c r="AY33" s="30">
        <f>SUM(AW33:AX33)</f>
        <v>1765943.8</v>
      </c>
      <c r="BA33" s="287">
        <v>1468435.54</v>
      </c>
      <c r="BB33" s="128">
        <v>0</v>
      </c>
      <c r="BC33" s="30">
        <f>SUM(BA33:BB33)</f>
        <v>1468435.54</v>
      </c>
    </row>
    <row r="34" spans="1:55" ht="12.75">
      <c r="A34" s="1" t="s">
        <v>25</v>
      </c>
      <c r="B34" s="308">
        <v>157968.06</v>
      </c>
      <c r="C34" s="308">
        <v>224500.75</v>
      </c>
      <c r="D34" s="308">
        <v>128346.6</v>
      </c>
      <c r="E34" s="308">
        <v>109411.2</v>
      </c>
      <c r="F34" s="308">
        <v>16853</v>
      </c>
      <c r="G34" s="308">
        <v>2925</v>
      </c>
      <c r="H34" s="309">
        <v>0</v>
      </c>
      <c r="I34" s="309">
        <v>0</v>
      </c>
      <c r="J34" s="309">
        <v>0</v>
      </c>
      <c r="K34" s="309">
        <v>0</v>
      </c>
      <c r="L34" s="249" t="s">
        <v>118</v>
      </c>
      <c r="M34" s="48">
        <f>(K34-AC34)*100/AC34</f>
        <v>-100</v>
      </c>
      <c r="N34" s="36">
        <v>0</v>
      </c>
      <c r="O34" s="36">
        <v>0</v>
      </c>
      <c r="P34" s="36">
        <v>0</v>
      </c>
      <c r="Q34" s="36">
        <v>20816</v>
      </c>
      <c r="R34" s="36">
        <v>0</v>
      </c>
      <c r="S34" s="36">
        <v>0</v>
      </c>
      <c r="T34" s="41">
        <v>0</v>
      </c>
      <c r="U34" s="41">
        <v>0</v>
      </c>
      <c r="V34" s="41">
        <v>0</v>
      </c>
      <c r="W34" s="157">
        <v>0</v>
      </c>
      <c r="X34" s="41">
        <v>0</v>
      </c>
      <c r="Y34" s="41">
        <v>0</v>
      </c>
      <c r="Z34" s="41">
        <v>77035</v>
      </c>
      <c r="AA34" s="78">
        <v>69272</v>
      </c>
      <c r="AB34" s="78">
        <v>32866</v>
      </c>
      <c r="AC34" s="78">
        <v>158356</v>
      </c>
      <c r="AD34" s="78"/>
      <c r="AE34" s="92">
        <v>109411.2</v>
      </c>
      <c r="AG34" s="30">
        <v>16853</v>
      </c>
      <c r="AH34" s="30">
        <v>0</v>
      </c>
      <c r="AI34" s="30">
        <f>SUM(AG34:AH34)</f>
        <v>16853</v>
      </c>
      <c r="AK34" s="92">
        <v>0</v>
      </c>
      <c r="AL34" s="92">
        <v>2925</v>
      </c>
      <c r="AM34" s="30">
        <f>SUM(AK34:AL34)</f>
        <v>2925</v>
      </c>
      <c r="AO34" s="247">
        <v>0</v>
      </c>
      <c r="AP34" s="3">
        <v>0</v>
      </c>
      <c r="AQ34" s="30">
        <f>SUM(AO34:AP34)</f>
        <v>0</v>
      </c>
      <c r="AS34" s="247">
        <v>0</v>
      </c>
      <c r="AT34" s="3">
        <v>0</v>
      </c>
      <c r="AU34" s="30">
        <f>SUM(AS34:AT34)</f>
        <v>0</v>
      </c>
      <c r="AW34" s="128">
        <v>0</v>
      </c>
      <c r="AX34" s="128">
        <v>0</v>
      </c>
      <c r="AY34" s="30">
        <f>SUM(AW34:AX34)</f>
        <v>0</v>
      </c>
      <c r="BA34" s="287">
        <v>0</v>
      </c>
      <c r="BB34" s="128">
        <v>0</v>
      </c>
      <c r="BC34" s="30">
        <f>SUM(BA34:BB34)</f>
        <v>0</v>
      </c>
    </row>
    <row r="35" spans="1:54" ht="12.75">
      <c r="A35" s="1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48"/>
      <c r="M35" s="48"/>
      <c r="O35" s="36"/>
      <c r="P35" s="36"/>
      <c r="R35" s="36"/>
      <c r="S35" s="36"/>
      <c r="T35" s="36"/>
      <c r="U35" s="36"/>
      <c r="V35" s="36"/>
      <c r="W35" s="36"/>
      <c r="X35" s="36"/>
      <c r="Y35" s="36"/>
      <c r="Z35" s="41"/>
      <c r="AA35" s="78"/>
      <c r="AB35" s="78"/>
      <c r="AC35" s="78"/>
      <c r="AD35" s="78"/>
      <c r="AE35" s="92"/>
      <c r="AK35" s="226"/>
      <c r="AL35" s="226"/>
      <c r="AO35" s="247"/>
      <c r="AP35" s="3"/>
      <c r="AS35" s="247"/>
      <c r="AT35" s="3"/>
      <c r="AW35" s="265"/>
      <c r="AX35" s="128"/>
      <c r="BA35" s="290"/>
      <c r="BB35" s="128"/>
    </row>
    <row r="36" spans="1:55" ht="12.75">
      <c r="A36" s="1" t="s">
        <v>26</v>
      </c>
      <c r="B36" s="309">
        <v>0</v>
      </c>
      <c r="C36" s="309">
        <v>0</v>
      </c>
      <c r="D36" s="309">
        <v>63542.88</v>
      </c>
      <c r="E36" s="309">
        <v>0</v>
      </c>
      <c r="F36" s="309">
        <v>0</v>
      </c>
      <c r="G36" s="309">
        <v>29046.15</v>
      </c>
      <c r="H36" s="309">
        <v>0</v>
      </c>
      <c r="I36" s="309">
        <v>50855</v>
      </c>
      <c r="J36" s="309">
        <v>50414.4</v>
      </c>
      <c r="K36" s="309">
        <v>0</v>
      </c>
      <c r="L36" s="249" t="s">
        <v>118</v>
      </c>
      <c r="M36" s="249" t="s">
        <v>118</v>
      </c>
      <c r="N36" s="36">
        <v>86048</v>
      </c>
      <c r="O36" s="36">
        <v>90718</v>
      </c>
      <c r="P36" s="36">
        <v>134279</v>
      </c>
      <c r="Q36" s="36">
        <v>0</v>
      </c>
      <c r="R36" s="36">
        <v>0</v>
      </c>
      <c r="S36" s="36">
        <v>67738</v>
      </c>
      <c r="T36" s="36">
        <v>121954</v>
      </c>
      <c r="U36" s="41">
        <v>0</v>
      </c>
      <c r="V36" s="36">
        <v>95126</v>
      </c>
      <c r="W36" s="41">
        <v>0</v>
      </c>
      <c r="X36" s="36">
        <v>31986</v>
      </c>
      <c r="Y36" s="41">
        <v>0</v>
      </c>
      <c r="Z36" s="41">
        <v>0</v>
      </c>
      <c r="AA36" s="78">
        <v>9000</v>
      </c>
      <c r="AB36" s="41">
        <v>0</v>
      </c>
      <c r="AC36" s="78">
        <v>400</v>
      </c>
      <c r="AD36" s="78"/>
      <c r="AE36" s="92">
        <v>0</v>
      </c>
      <c r="AG36" s="30">
        <v>0</v>
      </c>
      <c r="AH36" s="30">
        <v>0</v>
      </c>
      <c r="AI36" s="30">
        <f>SUM(AG36:AH36)</f>
        <v>0</v>
      </c>
      <c r="AK36" s="227">
        <v>29046.15</v>
      </c>
      <c r="AL36" s="226">
        <v>0</v>
      </c>
      <c r="AM36" s="30">
        <f>SUM(AK36:AL36)</f>
        <v>29046.15</v>
      </c>
      <c r="AO36" s="247">
        <v>0</v>
      </c>
      <c r="AP36" s="3">
        <v>0</v>
      </c>
      <c r="AQ36" s="30">
        <f>SUM(AO36:AP36)</f>
        <v>0</v>
      </c>
      <c r="AS36" s="247">
        <v>50855</v>
      </c>
      <c r="AT36" s="3">
        <v>0</v>
      </c>
      <c r="AU36" s="30">
        <f>SUM(AS36:AT36)</f>
        <v>50855</v>
      </c>
      <c r="AW36" s="266">
        <v>50414.4</v>
      </c>
      <c r="AX36" s="128">
        <v>0</v>
      </c>
      <c r="AY36" s="30">
        <f>SUM(AW36:AX36)</f>
        <v>50414.4</v>
      </c>
      <c r="BA36" s="291">
        <v>0</v>
      </c>
      <c r="BB36" s="128">
        <v>0</v>
      </c>
      <c r="BC36" s="30">
        <f>SUM(BA36:BB36)</f>
        <v>0</v>
      </c>
    </row>
    <row r="37" spans="1:55" ht="12.75">
      <c r="A37" s="1" t="s">
        <v>27</v>
      </c>
      <c r="B37" s="308">
        <v>3044373</v>
      </c>
      <c r="C37" s="308">
        <v>3231808</v>
      </c>
      <c r="D37" s="308">
        <v>3590133</v>
      </c>
      <c r="E37" s="308">
        <v>4048694</v>
      </c>
      <c r="F37" s="308">
        <v>3948202</v>
      </c>
      <c r="G37" s="308">
        <v>3927976.79</v>
      </c>
      <c r="H37" s="308">
        <v>4581386</v>
      </c>
      <c r="I37" s="308">
        <v>5299359</v>
      </c>
      <c r="J37" s="308">
        <v>4560296.850000001</v>
      </c>
      <c r="K37" s="308">
        <v>3463617</v>
      </c>
      <c r="L37" s="245">
        <f>(K37-J37)*100/J37</f>
        <v>-24.048431189298576</v>
      </c>
      <c r="M37" s="48">
        <f>(K37-AC37)*100/AC37</f>
        <v>28.820629051892112</v>
      </c>
      <c r="N37" s="36">
        <v>128569</v>
      </c>
      <c r="O37" s="36">
        <v>0</v>
      </c>
      <c r="P37" s="36">
        <v>0</v>
      </c>
      <c r="Q37" s="36">
        <v>0</v>
      </c>
      <c r="R37" s="36">
        <f>152092+497090</f>
        <v>649182</v>
      </c>
      <c r="S37" s="36">
        <v>736846</v>
      </c>
      <c r="T37" s="36">
        <v>826284</v>
      </c>
      <c r="U37" s="36">
        <v>952249</v>
      </c>
      <c r="V37" s="36">
        <v>755493</v>
      </c>
      <c r="W37" s="36">
        <v>1077075</v>
      </c>
      <c r="X37" s="36">
        <v>1180638</v>
      </c>
      <c r="Y37" s="36">
        <v>1275796</v>
      </c>
      <c r="Z37" s="41">
        <v>1648940</v>
      </c>
      <c r="AA37" s="78">
        <v>2109561</v>
      </c>
      <c r="AB37" s="78">
        <v>2162953</v>
      </c>
      <c r="AC37" s="78">
        <v>2688713</v>
      </c>
      <c r="AD37" s="78"/>
      <c r="AE37" s="92">
        <v>4048694</v>
      </c>
      <c r="AG37" s="30">
        <v>3929767</v>
      </c>
      <c r="AH37" s="30">
        <v>18435</v>
      </c>
      <c r="AI37" s="30">
        <f>SUM(AG37:AH37)</f>
        <v>3948202</v>
      </c>
      <c r="AK37" s="92">
        <v>3909125.79</v>
      </c>
      <c r="AL37" s="92">
        <v>18851</v>
      </c>
      <c r="AM37" s="30">
        <f>SUM(AK37:AL37)</f>
        <v>3927976.79</v>
      </c>
      <c r="AO37" s="247">
        <v>4544396</v>
      </c>
      <c r="AP37" s="3">
        <v>36990</v>
      </c>
      <c r="AQ37" s="30">
        <f>SUM(AO37:AP37)</f>
        <v>4581386</v>
      </c>
      <c r="AS37" s="247">
        <v>5274048</v>
      </c>
      <c r="AT37" s="3">
        <v>25311</v>
      </c>
      <c r="AU37" s="30">
        <f>SUM(AS37:AT37)</f>
        <v>5299359</v>
      </c>
      <c r="AW37" s="128">
        <v>4560296.850000001</v>
      </c>
      <c r="AX37" s="128">
        <v>0</v>
      </c>
      <c r="AY37" s="30">
        <f>SUM(AW37:AX37)</f>
        <v>4560296.850000001</v>
      </c>
      <c r="BA37" s="287">
        <v>3463617</v>
      </c>
      <c r="BB37" s="128">
        <v>0</v>
      </c>
      <c r="BC37" s="30">
        <f>SUM(BA37:BB37)</f>
        <v>3463617</v>
      </c>
    </row>
    <row r="38" spans="1:55" ht="12.75">
      <c r="A38" s="1" t="s">
        <v>28</v>
      </c>
      <c r="B38" s="308">
        <v>178035.68</v>
      </c>
      <c r="C38" s="309">
        <v>408298</v>
      </c>
      <c r="D38" s="309">
        <v>503097.74</v>
      </c>
      <c r="E38" s="309">
        <v>450215.46</v>
      </c>
      <c r="F38" s="309">
        <v>505722</v>
      </c>
      <c r="G38" s="309">
        <v>471287.61</v>
      </c>
      <c r="H38" s="309">
        <v>515436.24</v>
      </c>
      <c r="I38" s="309">
        <v>357901.24</v>
      </c>
      <c r="J38" s="309">
        <v>175101.46</v>
      </c>
      <c r="K38" s="309">
        <v>627034.74</v>
      </c>
      <c r="L38" s="245">
        <f>(K38-J38)*100/J38</f>
        <v>258.0979507538087</v>
      </c>
      <c r="M38" s="48">
        <f>(K38-AC38)*100/AC38</f>
        <v>277.19778626643006</v>
      </c>
      <c r="N38" s="36">
        <v>0</v>
      </c>
      <c r="O38" s="36">
        <v>0</v>
      </c>
      <c r="P38" s="36">
        <v>185266</v>
      </c>
      <c r="Q38" s="36">
        <v>0</v>
      </c>
      <c r="R38" s="36">
        <v>0</v>
      </c>
      <c r="S38" s="36">
        <v>0</v>
      </c>
      <c r="T38" s="41">
        <v>0</v>
      </c>
      <c r="U38" s="41">
        <v>0</v>
      </c>
      <c r="V38" s="41">
        <v>0</v>
      </c>
      <c r="W38" s="41">
        <v>0</v>
      </c>
      <c r="X38" s="36">
        <v>200898</v>
      </c>
      <c r="Y38" s="36">
        <v>164293</v>
      </c>
      <c r="Z38" s="41">
        <v>148276</v>
      </c>
      <c r="AA38" s="78">
        <v>139800</v>
      </c>
      <c r="AB38" s="78">
        <v>126513</v>
      </c>
      <c r="AC38" s="78">
        <v>166235</v>
      </c>
      <c r="AD38" s="78"/>
      <c r="AE38" s="92">
        <v>450215.46</v>
      </c>
      <c r="AG38" s="30">
        <v>497706</v>
      </c>
      <c r="AH38" s="30">
        <v>8016</v>
      </c>
      <c r="AI38" s="30">
        <f>SUM(AG38:AH38)</f>
        <v>505722</v>
      </c>
      <c r="AK38" s="92">
        <v>321522.95</v>
      </c>
      <c r="AL38" s="92">
        <v>149764.66</v>
      </c>
      <c r="AM38" s="30">
        <f>SUM(AK38:AL38)</f>
        <v>471287.61</v>
      </c>
      <c r="AO38" s="247">
        <v>491816.71</v>
      </c>
      <c r="AP38" s="3">
        <v>23619.53</v>
      </c>
      <c r="AQ38" s="30">
        <f>SUM(AO38:AP38)</f>
        <v>515436.24</v>
      </c>
      <c r="AS38" s="247">
        <v>0</v>
      </c>
      <c r="AT38" s="3">
        <v>357901.24</v>
      </c>
      <c r="AU38" s="30">
        <f>SUM(AS38:AT38)</f>
        <v>357901.24</v>
      </c>
      <c r="AW38" s="128">
        <v>175101.46</v>
      </c>
      <c r="AX38" s="128">
        <v>0</v>
      </c>
      <c r="AY38" s="30">
        <f>SUM(AW38:AX38)</f>
        <v>175101.46</v>
      </c>
      <c r="BA38" s="287">
        <v>627034.74</v>
      </c>
      <c r="BB38" s="128">
        <v>0</v>
      </c>
      <c r="BC38" s="30">
        <f>SUM(BA38:BB38)</f>
        <v>627034.74</v>
      </c>
    </row>
    <row r="39" spans="1:55" ht="12.75">
      <c r="A39" s="17" t="s">
        <v>29</v>
      </c>
      <c r="B39" s="310">
        <v>93717.5</v>
      </c>
      <c r="C39" s="310">
        <v>44450.52</v>
      </c>
      <c r="D39" s="310">
        <v>0</v>
      </c>
      <c r="E39" s="310">
        <v>64404.98</v>
      </c>
      <c r="F39" s="310">
        <v>34397</v>
      </c>
      <c r="G39" s="310">
        <v>44420.4</v>
      </c>
      <c r="H39" s="310">
        <v>28684.4</v>
      </c>
      <c r="I39" s="310">
        <v>30101</v>
      </c>
      <c r="J39" s="310">
        <v>26634.83</v>
      </c>
      <c r="K39" s="310">
        <v>41973.12</v>
      </c>
      <c r="L39" s="248">
        <f>(K39-J39)*100/J39</f>
        <v>57.5873395850471</v>
      </c>
      <c r="M39" s="88">
        <f>(K39-AC39)*100/AC39</f>
        <v>-65.09018322756647</v>
      </c>
      <c r="N39" s="174">
        <v>0</v>
      </c>
      <c r="O39" s="174">
        <v>0</v>
      </c>
      <c r="P39" s="36">
        <v>7010</v>
      </c>
      <c r="Q39" s="79">
        <v>0</v>
      </c>
      <c r="R39" s="79">
        <v>0</v>
      </c>
      <c r="S39" s="71">
        <v>0</v>
      </c>
      <c r="T39" s="93">
        <v>0</v>
      </c>
      <c r="U39" s="93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157">
        <v>0</v>
      </c>
      <c r="AB39" s="79">
        <v>193450</v>
      </c>
      <c r="AC39" s="78">
        <v>120233</v>
      </c>
      <c r="AD39" s="78"/>
      <c r="AE39" s="107">
        <v>64404.98</v>
      </c>
      <c r="AG39" s="30">
        <v>34397.45</v>
      </c>
      <c r="AH39" s="30">
        <v>0</v>
      </c>
      <c r="AI39" s="30">
        <f>SUM(AG39:AH39)</f>
        <v>34397.45</v>
      </c>
      <c r="AK39" s="107">
        <v>0</v>
      </c>
      <c r="AL39" s="107">
        <v>44420.4</v>
      </c>
      <c r="AM39" s="30">
        <f>SUM(AK39:AL39)</f>
        <v>44420.4</v>
      </c>
      <c r="AO39" s="247">
        <v>0</v>
      </c>
      <c r="AP39" s="3">
        <v>28684.4</v>
      </c>
      <c r="AQ39" s="30">
        <f>SUM(AO39:AP39)</f>
        <v>28684.4</v>
      </c>
      <c r="AS39" s="247">
        <v>0</v>
      </c>
      <c r="AT39" s="3">
        <v>30101</v>
      </c>
      <c r="AU39" s="30">
        <f>SUM(AS39:AT39)</f>
        <v>30101</v>
      </c>
      <c r="AW39" s="129">
        <v>26634.83</v>
      </c>
      <c r="AX39" s="129">
        <v>0</v>
      </c>
      <c r="AY39" s="30">
        <f>SUM(AW39:AX39)</f>
        <v>26634.83</v>
      </c>
      <c r="BA39" s="288">
        <v>41973.12</v>
      </c>
      <c r="BB39" s="129">
        <v>0</v>
      </c>
      <c r="BC39" s="30">
        <f>SUM(BA39:BB39)</f>
        <v>41973.12</v>
      </c>
    </row>
    <row r="40" spans="1:30" ht="12.75">
      <c r="A40" s="1" t="s">
        <v>232</v>
      </c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15"/>
      <c r="P40" s="37"/>
      <c r="Q40" s="37"/>
      <c r="R40" s="37"/>
      <c r="W40" s="37"/>
      <c r="X40" s="43"/>
      <c r="Y40" s="70"/>
      <c r="Z40" s="70"/>
      <c r="AA40" s="37"/>
      <c r="AB40" s="33"/>
      <c r="AC40" s="70"/>
      <c r="AD40" s="70"/>
    </row>
    <row r="41" spans="1:30" ht="12.75">
      <c r="A41" s="307" t="s">
        <v>233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5"/>
      <c r="X41" s="36"/>
      <c r="Y41" s="36"/>
      <c r="Z41" s="36"/>
      <c r="AC41" s="36"/>
      <c r="AD41" s="36"/>
    </row>
    <row r="42" spans="1:3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P42" s="36"/>
      <c r="Q42" s="36"/>
      <c r="R42" s="36"/>
      <c r="W42" s="36"/>
      <c r="X42" s="36"/>
      <c r="Y42" s="36"/>
      <c r="Z42" s="36"/>
      <c r="AC42" s="36"/>
      <c r="AD42" s="36"/>
    </row>
    <row r="43" spans="16:23" ht="12.75">
      <c r="P43" s="36"/>
      <c r="Q43" s="36"/>
      <c r="R43" s="36"/>
      <c r="W43" s="36"/>
    </row>
    <row r="44" spans="16:23" ht="12.75">
      <c r="P44" s="36"/>
      <c r="Q44" s="36"/>
      <c r="R44" s="36"/>
      <c r="W44" s="36"/>
    </row>
    <row r="45" spans="16:23" ht="12.75">
      <c r="P45" s="36"/>
      <c r="Q45" s="36"/>
      <c r="R45" s="36"/>
      <c r="W45" s="36"/>
    </row>
    <row r="46" spans="16:23" ht="12.75">
      <c r="P46" s="36"/>
      <c r="Q46" s="36"/>
      <c r="R46" s="36"/>
      <c r="W46" s="36"/>
    </row>
    <row r="47" ht="12.75">
      <c r="W47" s="36"/>
    </row>
    <row r="48" ht="12.75">
      <c r="W48" s="36"/>
    </row>
    <row r="49" ht="12.75">
      <c r="W49" s="36"/>
    </row>
    <row r="50" ht="12.75">
      <c r="W50" s="36"/>
    </row>
    <row r="51" ht="12.75">
      <c r="W51" s="36"/>
    </row>
  </sheetData>
  <sheetProtection password="CAF5" sheet="1"/>
  <mergeCells count="10">
    <mergeCell ref="BA5:BC5"/>
    <mergeCell ref="AW5:AY5"/>
    <mergeCell ref="A1:M1"/>
    <mergeCell ref="AS5:AU5"/>
    <mergeCell ref="AK5:AM5"/>
    <mergeCell ref="L7:M7"/>
    <mergeCell ref="AG5:AI5"/>
    <mergeCell ref="AO5:AQ5"/>
    <mergeCell ref="A3:L3"/>
    <mergeCell ref="A4:M4"/>
  </mergeCells>
  <printOptions/>
  <pageMargins left="0.49" right="0.5" top="1" bottom="1" header="0.5" footer="0.5"/>
  <pageSetup fitToHeight="1" fitToWidth="1" horizontalDpi="600" verticalDpi="600" orientation="landscape" scale="76" r:id="rId1"/>
  <headerFooter scaleWithDoc="0" alignWithMargins="0">
    <oddFooter>&amp;L&amp;"Arial,Italic"&amp;10MSDE-LFRO  10 / 2011&amp;C&amp;"Arial,Regular"&amp;10- 10 -&amp;R&amp;"Arial,Italic"&amp;10Selected Financial Data - Part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1"/>
  <sheetViews>
    <sheetView workbookViewId="0" topLeftCell="A25">
      <selection activeCell="A41" sqref="A41"/>
    </sheetView>
  </sheetViews>
  <sheetFormatPr defaultColWidth="10.00390625" defaultRowHeight="15.75"/>
  <cols>
    <col min="1" max="1" width="13.25390625" style="1" customWidth="1"/>
    <col min="2" max="11" width="12.625" style="1" customWidth="1"/>
    <col min="12" max="12" width="9.50390625" style="1" customWidth="1"/>
    <col min="13" max="13" width="6.625" style="1" customWidth="1"/>
    <col min="14" max="14" width="9.375" style="1" bestFit="1" customWidth="1"/>
    <col min="15" max="20" width="10.125" style="1" customWidth="1"/>
    <col min="21" max="22" width="10.125" style="3" customWidth="1"/>
    <col min="23" max="23" width="10.125" style="1" customWidth="1"/>
    <col min="24" max="24" width="11.75390625" style="1" customWidth="1"/>
    <col min="25" max="25" width="12.50390625" style="1" customWidth="1"/>
    <col min="26" max="26" width="10.875" style="3" bestFit="1" customWidth="1"/>
    <col min="27" max="29" width="10.875" style="3" customWidth="1"/>
    <col min="30" max="30" width="6.00390625" style="3" customWidth="1"/>
    <col min="31" max="31" width="12.50390625" style="3" bestFit="1" customWidth="1"/>
    <col min="32" max="32" width="11.625" style="3" customWidth="1"/>
    <col min="33" max="33" width="12.875" style="3" customWidth="1"/>
    <col min="34" max="34" width="14.50390625" style="3" customWidth="1"/>
    <col min="35" max="35" width="11.25390625" style="3" customWidth="1"/>
    <col min="36" max="37" width="10.125" style="3" customWidth="1"/>
    <col min="38" max="38" width="12.50390625" style="3" bestFit="1" customWidth="1"/>
    <col min="39" max="39" width="11.125" style="3" customWidth="1"/>
    <col min="40" max="40" width="12.75390625" style="3" customWidth="1"/>
    <col min="41" max="41" width="13.875" style="3" customWidth="1"/>
    <col min="42" max="42" width="13.25390625" style="3" customWidth="1"/>
    <col min="43" max="43" width="10.125" style="3" customWidth="1"/>
    <col min="44" max="44" width="14.50390625" style="3" customWidth="1"/>
    <col min="45" max="45" width="10.125" style="3" customWidth="1"/>
    <col min="46" max="46" width="11.00390625" style="3" customWidth="1"/>
    <col min="47" max="47" width="12.00390625" style="3" customWidth="1"/>
    <col min="48" max="49" width="10.125" style="3" customWidth="1"/>
    <col min="50" max="50" width="14.375" style="3" customWidth="1"/>
    <col min="51" max="51" width="10.125" style="3" customWidth="1"/>
    <col min="52" max="52" width="11.25390625" style="3" customWidth="1"/>
    <col min="53" max="53" width="13.00390625" style="3" bestFit="1" customWidth="1"/>
    <col min="54" max="55" width="10.125" style="3" customWidth="1"/>
    <col min="56" max="56" width="12.125" style="3" customWidth="1"/>
    <col min="57" max="57" width="11.625" style="3" customWidth="1"/>
    <col min="58" max="58" width="15.125" style="3" customWidth="1"/>
    <col min="59" max="59" width="13.00390625" style="3" bestFit="1" customWidth="1"/>
    <col min="60" max="60" width="10.00390625" style="3" customWidth="1"/>
    <col min="61" max="61" width="4.375" style="3" customWidth="1"/>
    <col min="62" max="62" width="16.375" style="3" customWidth="1"/>
    <col min="63" max="63" width="10.00390625" style="3" customWidth="1"/>
    <col min="64" max="64" width="12.75390625" style="3" bestFit="1" customWidth="1"/>
    <col min="65" max="65" width="13.00390625" style="3" bestFit="1" customWidth="1"/>
    <col min="66" max="66" width="9.00390625" style="3" bestFit="1" customWidth="1"/>
    <col min="67" max="67" width="10.00390625" style="3" customWidth="1"/>
    <col min="68" max="68" width="14.375" style="3" customWidth="1"/>
    <col min="69" max="69" width="10.00390625" style="3" customWidth="1"/>
    <col min="70" max="70" width="13.125" style="3" customWidth="1"/>
    <col min="71" max="71" width="11.75390625" style="3" customWidth="1"/>
    <col min="72" max="16384" width="10.00390625" style="3" customWidth="1"/>
  </cols>
  <sheetData>
    <row r="1" spans="1:25" ht="15.75" customHeight="1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68"/>
      <c r="O1" s="10"/>
      <c r="P1" s="10"/>
      <c r="W1" s="3"/>
      <c r="X1" s="3"/>
      <c r="Y1" s="3"/>
    </row>
    <row r="2" spans="1:25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W2" s="2"/>
      <c r="X2" s="2"/>
      <c r="Y2" s="2"/>
    </row>
    <row r="3" spans="1:25" ht="12.75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68"/>
      <c r="O3" s="10"/>
      <c r="P3" s="10"/>
      <c r="W3" s="3"/>
      <c r="X3" s="3"/>
      <c r="Y3" s="3"/>
    </row>
    <row r="4" spans="1:36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201"/>
      <c r="P4" s="201"/>
      <c r="Q4" s="10"/>
      <c r="U4" s="1"/>
      <c r="V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1"/>
    </row>
    <row r="5" spans="31:68" ht="13.5" thickBot="1">
      <c r="AE5" s="225" t="s">
        <v>155</v>
      </c>
      <c r="AL5" s="335" t="s">
        <v>155</v>
      </c>
      <c r="AM5" s="335"/>
      <c r="AN5" s="335"/>
      <c r="AO5" s="335"/>
      <c r="AR5" s="3" t="s">
        <v>155</v>
      </c>
      <c r="AX5" s="3" t="s">
        <v>155</v>
      </c>
      <c r="BD5" s="3" t="s">
        <v>273</v>
      </c>
      <c r="BJ5" s="3" t="s">
        <v>274</v>
      </c>
      <c r="BP5" s="3" t="s">
        <v>288</v>
      </c>
    </row>
    <row r="6" spans="1:68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W6" s="5"/>
      <c r="X6" s="5"/>
      <c r="Y6" s="5"/>
      <c r="Z6" s="5"/>
      <c r="AA6" s="5"/>
      <c r="AB6" s="5"/>
      <c r="AC6" s="5"/>
      <c r="AD6" s="7"/>
      <c r="AE6" s="334" t="s">
        <v>152</v>
      </c>
      <c r="AF6" s="334"/>
      <c r="AG6" s="334"/>
      <c r="AL6" s="334" t="s">
        <v>152</v>
      </c>
      <c r="AM6" s="334"/>
      <c r="AN6" s="334"/>
      <c r="AR6" s="3" t="s">
        <v>152</v>
      </c>
      <c r="AX6" s="3" t="s">
        <v>152</v>
      </c>
      <c r="BD6" s="3" t="s">
        <v>152</v>
      </c>
      <c r="BJ6" s="3" t="s">
        <v>152</v>
      </c>
      <c r="BP6" s="3" t="s">
        <v>152</v>
      </c>
    </row>
    <row r="7" spans="12:71" ht="12.75">
      <c r="L7" s="6" t="s">
        <v>34</v>
      </c>
      <c r="M7" s="6"/>
      <c r="U7" s="1"/>
      <c r="V7" s="1"/>
      <c r="Z7" s="1"/>
      <c r="AA7" s="1"/>
      <c r="AB7" s="1"/>
      <c r="AC7" s="1"/>
      <c r="AD7" s="1"/>
      <c r="AE7" s="331" t="s">
        <v>141</v>
      </c>
      <c r="AF7" s="331"/>
      <c r="AG7" s="332" t="s">
        <v>154</v>
      </c>
      <c r="AH7" s="3" t="s">
        <v>156</v>
      </c>
      <c r="AL7" s="331" t="s">
        <v>141</v>
      </c>
      <c r="AM7" s="331"/>
      <c r="AN7" s="332" t="s">
        <v>154</v>
      </c>
      <c r="AO7" s="3" t="s">
        <v>156</v>
      </c>
      <c r="AR7" s="3" t="s">
        <v>141</v>
      </c>
      <c r="AT7" s="3" t="s">
        <v>154</v>
      </c>
      <c r="AU7" s="3" t="s">
        <v>156</v>
      </c>
      <c r="AX7" s="3" t="s">
        <v>141</v>
      </c>
      <c r="AZ7" s="3" t="s">
        <v>154</v>
      </c>
      <c r="BA7" s="3" t="s">
        <v>156</v>
      </c>
      <c r="BD7" s="3" t="s">
        <v>141</v>
      </c>
      <c r="BF7" s="3" t="s">
        <v>154</v>
      </c>
      <c r="BG7" s="3" t="s">
        <v>156</v>
      </c>
      <c r="BJ7" s="3" t="s">
        <v>141</v>
      </c>
      <c r="BL7" s="3" t="s">
        <v>154</v>
      </c>
      <c r="BM7" s="3" t="s">
        <v>156</v>
      </c>
      <c r="BP7" s="3" t="s">
        <v>141</v>
      </c>
      <c r="BR7" s="3" t="s">
        <v>154</v>
      </c>
      <c r="BS7" s="3" t="s">
        <v>156</v>
      </c>
    </row>
    <row r="8" spans="1:7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13"/>
      <c r="AF8" s="113"/>
      <c r="AG8" s="324"/>
      <c r="AH8" s="3" t="s">
        <v>157</v>
      </c>
      <c r="AL8" s="113"/>
      <c r="AM8" s="113"/>
      <c r="AN8" s="324"/>
      <c r="AO8" s="3" t="s">
        <v>157</v>
      </c>
      <c r="AU8" s="3" t="s">
        <v>157</v>
      </c>
      <c r="BA8" s="3" t="s">
        <v>157</v>
      </c>
      <c r="BG8" s="3" t="s">
        <v>157</v>
      </c>
      <c r="BM8" s="3" t="s">
        <v>157</v>
      </c>
      <c r="BS8" s="3" t="s">
        <v>157</v>
      </c>
    </row>
    <row r="9" spans="1:69" ht="13.5" thickBot="1">
      <c r="A9" s="8" t="s">
        <v>1</v>
      </c>
      <c r="B9" s="9" t="s">
        <v>105</v>
      </c>
      <c r="C9" s="9" t="s">
        <v>161</v>
      </c>
      <c r="D9" s="9" t="s">
        <v>168</v>
      </c>
      <c r="E9" s="9" t="s">
        <v>184</v>
      </c>
      <c r="F9" s="9" t="s">
        <v>194</v>
      </c>
      <c r="G9" s="9" t="s">
        <v>208</v>
      </c>
      <c r="H9" s="9" t="s">
        <v>243</v>
      </c>
      <c r="I9" s="9" t="s">
        <v>256</v>
      </c>
      <c r="J9" s="9" t="s">
        <v>269</v>
      </c>
      <c r="K9" s="9" t="s">
        <v>284</v>
      </c>
      <c r="L9" s="9" t="s">
        <v>84</v>
      </c>
      <c r="M9" s="9" t="s">
        <v>84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3"/>
      <c r="AE9" s="114" t="s">
        <v>112</v>
      </c>
      <c r="AF9" s="114" t="s">
        <v>153</v>
      </c>
      <c r="AG9" s="333"/>
      <c r="AL9" s="114" t="s">
        <v>112</v>
      </c>
      <c r="AM9" s="114" t="s">
        <v>153</v>
      </c>
      <c r="AN9" s="333"/>
      <c r="AR9" s="3" t="s">
        <v>112</v>
      </c>
      <c r="AS9" s="3" t="s">
        <v>153</v>
      </c>
      <c r="AX9" s="3" t="s">
        <v>112</v>
      </c>
      <c r="AY9" s="3" t="s">
        <v>153</v>
      </c>
      <c r="BD9" s="3" t="s">
        <v>112</v>
      </c>
      <c r="BE9" s="3" t="s">
        <v>153</v>
      </c>
      <c r="BJ9" s="3" t="s">
        <v>112</v>
      </c>
      <c r="BK9" s="3" t="s">
        <v>153</v>
      </c>
      <c r="BP9" s="3" t="s">
        <v>112</v>
      </c>
      <c r="BQ9" s="3" t="s">
        <v>153</v>
      </c>
    </row>
    <row r="10" spans="1:72" ht="13.5" thickTop="1">
      <c r="A10" s="7" t="s">
        <v>5</v>
      </c>
      <c r="B10" s="11">
        <f aca="true" t="shared" si="0" ref="B10:G10">SUM(B12:B39)</f>
        <v>3303979</v>
      </c>
      <c r="C10" s="11">
        <f t="shared" si="0"/>
        <v>3585203</v>
      </c>
      <c r="D10" s="11">
        <f t="shared" si="0"/>
        <v>3780196</v>
      </c>
      <c r="E10" s="11">
        <f t="shared" si="0"/>
        <v>3839435</v>
      </c>
      <c r="F10" s="11">
        <f t="shared" si="0"/>
        <v>3990917</v>
      </c>
      <c r="G10" s="11">
        <f t="shared" si="0"/>
        <v>4255030.00195</v>
      </c>
      <c r="H10" s="11">
        <f>SUM(H12:H39)</f>
        <v>5039446.498240001</v>
      </c>
      <c r="I10" s="11">
        <f>SUM(I12:I39)</f>
        <v>5027416.756980001</v>
      </c>
      <c r="J10" s="11">
        <f>SUM(J12:J39)</f>
        <v>5204234.30163</v>
      </c>
      <c r="K10" s="11">
        <f>SUM(K12:K39)</f>
        <v>5268282.1319</v>
      </c>
      <c r="L10" s="245">
        <f>(K10-J10)*100/J10</f>
        <v>1.230686909118226</v>
      </c>
      <c r="M10" s="48">
        <f>(K10-AC10)*100/AC10</f>
        <v>74.74088569520846</v>
      </c>
      <c r="N10" s="13">
        <f>SUM(N12:N43)</f>
        <v>1282917</v>
      </c>
      <c r="O10" s="13">
        <f aca="true" t="shared" si="1" ref="O10:Y10">SUM(O12:O43)</f>
        <v>1393768</v>
      </c>
      <c r="P10" s="13">
        <f t="shared" si="1"/>
        <v>1528036</v>
      </c>
      <c r="Q10" s="13">
        <f t="shared" si="1"/>
        <v>1665323</v>
      </c>
      <c r="R10" s="13">
        <f t="shared" si="1"/>
        <v>1846471</v>
      </c>
      <c r="S10" s="13">
        <f t="shared" si="1"/>
        <v>2024270</v>
      </c>
      <c r="T10" s="13">
        <f t="shared" si="1"/>
        <v>2206209</v>
      </c>
      <c r="U10" s="13">
        <f t="shared" si="1"/>
        <v>2247637</v>
      </c>
      <c r="V10" s="13">
        <f t="shared" si="1"/>
        <v>2325522</v>
      </c>
      <c r="W10" s="13">
        <f t="shared" si="1"/>
        <v>2424857.7760000005</v>
      </c>
      <c r="X10" s="13">
        <f t="shared" si="1"/>
        <v>2598041.9869999997</v>
      </c>
      <c r="Y10" s="13">
        <f t="shared" si="1"/>
        <v>2696981.12</v>
      </c>
      <c r="Z10" s="11">
        <f>SUM(Z12:Z39)</f>
        <v>2800462</v>
      </c>
      <c r="AA10" s="11">
        <f>SUM(AA12:AA39)</f>
        <v>2677189</v>
      </c>
      <c r="AB10" s="11">
        <f>SUM(AB12:AB39)</f>
        <v>2839856</v>
      </c>
      <c r="AC10" s="11">
        <f>SUM(AC12:AC39)</f>
        <v>3014910.9699999997</v>
      </c>
      <c r="AD10" s="11"/>
      <c r="AE10" s="11">
        <f>SUM(AE12:AE39)</f>
        <v>3129196588</v>
      </c>
      <c r="AF10" s="11">
        <f>SUM(AF12:AF39)</f>
        <v>6721794.62</v>
      </c>
      <c r="AG10" s="11">
        <f>SUM(AG12:AG39)</f>
        <v>716960852.78</v>
      </c>
      <c r="AH10" s="11">
        <f>SUM(AH12:AH39)</f>
        <v>3839435646.16</v>
      </c>
      <c r="AI10" s="11">
        <f>SUM(AI12:AI39)</f>
        <v>3839435.6461599995</v>
      </c>
      <c r="AL10" s="11">
        <f>SUM(AL12:AL39)</f>
        <v>3225104541</v>
      </c>
      <c r="AM10" s="11">
        <f>SUM(AM12:AM39)</f>
        <v>5711754.749999999</v>
      </c>
      <c r="AN10" s="11">
        <f>SUM(AN12:AN39)</f>
        <v>771524617.13</v>
      </c>
      <c r="AO10" s="11">
        <f>SUM(AO12:AO39)</f>
        <v>3990917403.380001</v>
      </c>
      <c r="AP10" s="11">
        <f>SUM(AP12:AP39)</f>
        <v>3990917.40338</v>
      </c>
      <c r="AR10" s="237">
        <f>SUM(AR12:AR39)</f>
        <v>3424356935.019999</v>
      </c>
      <c r="AS10" s="237">
        <f>SUM(AS12:AS39)</f>
        <v>5749994.7</v>
      </c>
      <c r="AT10" s="237">
        <f>SUM(AT12:AT39)</f>
        <v>836423061.6299999</v>
      </c>
      <c r="AU10" s="237">
        <f>SUM(AU12:AU39)</f>
        <v>4255030001.95</v>
      </c>
      <c r="AV10" s="237">
        <f>SUM(AV12:AV39)</f>
        <v>4255030.00195</v>
      </c>
      <c r="AX10" s="237">
        <f>SUM(AX12:AX39)</f>
        <v>4116776614.78</v>
      </c>
      <c r="AY10" s="237">
        <f>SUM(AY12:AY39)</f>
        <v>5543501.300000001</v>
      </c>
      <c r="AZ10" s="237">
        <f>SUM(AZ12:AZ39)</f>
        <v>928213384.7600001</v>
      </c>
      <c r="BA10" s="237">
        <f>SUM(BA12:BA39)</f>
        <v>5039446498.240001</v>
      </c>
      <c r="BB10" s="237">
        <f>SUM(BB12:BB39)</f>
        <v>5039446.498240001</v>
      </c>
      <c r="BD10" s="237">
        <f>SUM(BD12:BD39)</f>
        <v>4010881499.8600006</v>
      </c>
      <c r="BE10" s="237">
        <f>SUM(BE12:BE39)</f>
        <v>4971358.029999999</v>
      </c>
      <c r="BF10" s="237">
        <f>SUM(BF12:BF39)</f>
        <v>1021506615.1500001</v>
      </c>
      <c r="BG10" s="237">
        <f>SUM(BG12:BG39)</f>
        <v>5027416756.980001</v>
      </c>
      <c r="BH10" s="237">
        <f>SUM(BH12:BH39)</f>
        <v>5027416.756980001</v>
      </c>
      <c r="BJ10" s="237">
        <f>SUM(BJ12:BJ39)</f>
        <v>4130247054.2799997</v>
      </c>
      <c r="BK10" s="237">
        <f>SUM(BK12:BK39)</f>
        <v>4255833.05</v>
      </c>
      <c r="BL10" s="237">
        <f>SUM(BL12:BL39)</f>
        <v>1078243080.4</v>
      </c>
      <c r="BM10" s="237">
        <f>SUM(BM12:BM39)</f>
        <v>5204234301.630001</v>
      </c>
      <c r="BN10" s="237">
        <f>SUM(BN12:BN39)</f>
        <v>5204234.30163</v>
      </c>
      <c r="BP10" s="237">
        <f>SUM(BP12:BP39)</f>
        <v>4155202183.23</v>
      </c>
      <c r="BQ10" s="237">
        <f>SUM(BQ12:BQ39)</f>
        <v>3981738.1899999995</v>
      </c>
      <c r="BR10" s="237">
        <f>SUM(BR12:BR39)</f>
        <v>1117061686.8599997</v>
      </c>
      <c r="BS10" s="237">
        <f>SUM(BS12:BS39)</f>
        <v>5268282131.900002</v>
      </c>
      <c r="BT10" s="237">
        <f>SUM(BT12:BT39)</f>
        <v>5268282.1319</v>
      </c>
    </row>
    <row r="11" spans="13:30" ht="12.75">
      <c r="M11" s="14"/>
      <c r="O11" s="14"/>
      <c r="R11" s="14"/>
      <c r="S11" s="14"/>
      <c r="U11" s="1"/>
      <c r="V11" s="1"/>
      <c r="X11" s="21"/>
      <c r="Y11" s="14"/>
      <c r="Z11" s="14"/>
      <c r="AA11" s="14"/>
      <c r="AB11" s="1"/>
      <c r="AC11" s="1"/>
      <c r="AD11" s="14"/>
    </row>
    <row r="12" spans="1:72" ht="12.75">
      <c r="A12" s="1" t="s">
        <v>6</v>
      </c>
      <c r="B12" s="1">
        <v>36871</v>
      </c>
      <c r="C12" s="1">
        <v>39824</v>
      </c>
      <c r="D12" s="1">
        <v>40945</v>
      </c>
      <c r="E12" s="1">
        <v>41874</v>
      </c>
      <c r="F12" s="1">
        <v>43869</v>
      </c>
      <c r="G12" s="1">
        <v>46213.28163000001</v>
      </c>
      <c r="H12" s="1">
        <v>54763.816230000004</v>
      </c>
      <c r="I12" s="1">
        <v>52158.78999</v>
      </c>
      <c r="J12" s="1">
        <v>55655.17573999999</v>
      </c>
      <c r="K12" s="1">
        <v>56252.21086</v>
      </c>
      <c r="L12" s="245">
        <f>(K12-J12)*100/J12</f>
        <v>1.072739618663915</v>
      </c>
      <c r="M12" s="48">
        <f>(K12-AC12)*100/AC12</f>
        <v>54.751611719394774</v>
      </c>
      <c r="N12" s="14">
        <v>19003</v>
      </c>
      <c r="O12" s="14">
        <v>20242</v>
      </c>
      <c r="P12" s="14">
        <v>21445</v>
      </c>
      <c r="Q12" s="27">
        <v>22670</v>
      </c>
      <c r="R12" s="27">
        <v>24640</v>
      </c>
      <c r="S12" s="27">
        <v>26265</v>
      </c>
      <c r="T12" s="27">
        <v>27530</v>
      </c>
      <c r="U12" s="27">
        <v>28661</v>
      </c>
      <c r="V12" s="27">
        <v>29133</v>
      </c>
      <c r="W12" s="27">
        <f>27113.852+3903.364</f>
        <v>31017.216</v>
      </c>
      <c r="X12" s="36">
        <f>28369.44+4251.064</f>
        <v>32620.504</v>
      </c>
      <c r="Y12" s="14">
        <f>29346.709+4674.629</f>
        <v>34021.337999999996</v>
      </c>
      <c r="Z12" s="14">
        <v>34369</v>
      </c>
      <c r="AA12" s="14">
        <v>33772</v>
      </c>
      <c r="AB12" s="1">
        <v>35496</v>
      </c>
      <c r="AC12" s="1">
        <v>36350</v>
      </c>
      <c r="AD12" s="14"/>
      <c r="AE12" s="3">
        <v>33974534</v>
      </c>
      <c r="AF12" s="3">
        <v>125360.44</v>
      </c>
      <c r="AG12" s="3">
        <v>8025130</v>
      </c>
      <c r="AH12" s="3">
        <f>AE12-AF12+AG12</f>
        <v>41874303.56</v>
      </c>
      <c r="AI12" s="3">
        <f>AH12/1000</f>
        <v>41874.30356</v>
      </c>
      <c r="AL12" s="3">
        <v>34912483</v>
      </c>
      <c r="AM12" s="3">
        <v>141365</v>
      </c>
      <c r="AN12" s="3">
        <v>9098377</v>
      </c>
      <c r="AO12" s="3">
        <f>AL12-AM12+AN12</f>
        <v>43869495</v>
      </c>
      <c r="AP12" s="3">
        <f>AO12/1000</f>
        <v>43869.495</v>
      </c>
      <c r="AR12" s="3">
        <v>37083559.03000001</v>
      </c>
      <c r="AS12" s="3">
        <v>162723.47</v>
      </c>
      <c r="AT12" s="3">
        <v>9292446.07</v>
      </c>
      <c r="AU12" s="3">
        <f>AR12-AS12+AT12</f>
        <v>46213281.63000001</v>
      </c>
      <c r="AV12" s="3">
        <f>AU12/1000</f>
        <v>46213.28163000001</v>
      </c>
      <c r="AX12" s="3">
        <v>44759335.300000004</v>
      </c>
      <c r="AY12" s="3">
        <v>208411.12</v>
      </c>
      <c r="AZ12" s="3">
        <v>10212892.05</v>
      </c>
      <c r="BA12" s="3">
        <f>AX12-AY12+AZ12</f>
        <v>54763816.230000004</v>
      </c>
      <c r="BB12" s="3">
        <f>BA12/1000</f>
        <v>54763.816230000004</v>
      </c>
      <c r="BD12" s="3">
        <v>41460933.53999999</v>
      </c>
      <c r="BE12" s="3">
        <v>217859.51</v>
      </c>
      <c r="BF12" s="3">
        <v>10915715.960000003</v>
      </c>
      <c r="BG12" s="3">
        <f>BD12-BE12+BF12</f>
        <v>52158789.989999995</v>
      </c>
      <c r="BH12" s="3">
        <f>BG12/1000</f>
        <v>52158.78999</v>
      </c>
      <c r="BJ12" s="3">
        <v>44899637.72</v>
      </c>
      <c r="BK12" s="3">
        <v>236274.7</v>
      </c>
      <c r="BL12" s="3">
        <v>10991812.72</v>
      </c>
      <c r="BM12" s="3">
        <f>BJ12-BK12+BL12</f>
        <v>55655175.739999995</v>
      </c>
      <c r="BN12" s="3">
        <f>BM12/1000</f>
        <v>55655.17573999999</v>
      </c>
      <c r="BP12" s="3">
        <v>45065493.99999999</v>
      </c>
      <c r="BQ12" s="3">
        <v>222095.87</v>
      </c>
      <c r="BR12" s="3">
        <v>11408812.73</v>
      </c>
      <c r="BS12" s="3">
        <f>BP12-BQ12+BR12</f>
        <v>56252210.86</v>
      </c>
      <c r="BT12" s="3">
        <f>BS12/1000</f>
        <v>56252.21086</v>
      </c>
    </row>
    <row r="13" spans="1:72" ht="12.75">
      <c r="A13" s="1" t="s">
        <v>7</v>
      </c>
      <c r="B13" s="1">
        <v>268848</v>
      </c>
      <c r="C13" s="1">
        <v>289399</v>
      </c>
      <c r="D13" s="1">
        <v>295866</v>
      </c>
      <c r="E13" s="1">
        <v>298203</v>
      </c>
      <c r="F13" s="1">
        <v>316152</v>
      </c>
      <c r="G13" s="1">
        <v>339474.2285699999</v>
      </c>
      <c r="H13" s="1">
        <v>405419.5317900001</v>
      </c>
      <c r="I13" s="1">
        <v>416325.10983999993</v>
      </c>
      <c r="J13" s="1">
        <v>440868.43470999994</v>
      </c>
      <c r="K13" s="1">
        <v>438171.66867000004</v>
      </c>
      <c r="L13" s="245">
        <f>(K13-J13)*100/J13</f>
        <v>-0.6116940628271138</v>
      </c>
      <c r="M13" s="48">
        <f>(K13-AC13)*100/AC13</f>
        <v>76.95546357252162</v>
      </c>
      <c r="N13" s="14">
        <v>120553</v>
      </c>
      <c r="O13" s="14">
        <v>129829</v>
      </c>
      <c r="P13" s="14">
        <v>141233</v>
      </c>
      <c r="Q13" s="27">
        <v>153249</v>
      </c>
      <c r="R13" s="27">
        <v>167493</v>
      </c>
      <c r="S13" s="27">
        <v>185592</v>
      </c>
      <c r="T13" s="27">
        <v>205817</v>
      </c>
      <c r="U13" s="27">
        <v>203702</v>
      </c>
      <c r="V13" s="27">
        <v>210800</v>
      </c>
      <c r="W13" s="27">
        <f>188520.394+30617.162</f>
        <v>219137.556</v>
      </c>
      <c r="X13" s="36">
        <f>201113.017+33511.67</f>
        <v>234624.68699999998</v>
      </c>
      <c r="Y13" s="14">
        <f>203360.807+34022.837</f>
        <v>237383.644</v>
      </c>
      <c r="Z13" s="14">
        <v>241584</v>
      </c>
      <c r="AA13" s="14">
        <v>226336</v>
      </c>
      <c r="AB13" s="1">
        <v>234438</v>
      </c>
      <c r="AC13" s="1">
        <v>247616.92</v>
      </c>
      <c r="AD13" s="14"/>
      <c r="AE13" s="3">
        <v>244522000</v>
      </c>
      <c r="AF13" s="3">
        <v>0</v>
      </c>
      <c r="AG13" s="3">
        <v>53681360</v>
      </c>
      <c r="AH13" s="3">
        <f>AE13-AF13+AG13</f>
        <v>298203360</v>
      </c>
      <c r="AI13" s="3">
        <f>AH13/1000</f>
        <v>298203.36</v>
      </c>
      <c r="AL13" s="3">
        <v>258563506</v>
      </c>
      <c r="AM13" s="3">
        <v>0</v>
      </c>
      <c r="AN13" s="3">
        <v>57588148</v>
      </c>
      <c r="AO13" s="3">
        <f>AL13-AM13+AN13</f>
        <v>316151654</v>
      </c>
      <c r="AP13" s="3">
        <f>AO13/1000</f>
        <v>316151.654</v>
      </c>
      <c r="AR13" s="3">
        <v>278249762.28999996</v>
      </c>
      <c r="AS13" s="3">
        <v>0</v>
      </c>
      <c r="AT13" s="3">
        <v>61224466.28</v>
      </c>
      <c r="AU13" s="3">
        <f>AR13-AS13+AT13</f>
        <v>339474228.56999993</v>
      </c>
      <c r="AV13" s="3">
        <f>AU13/1000</f>
        <v>339474.2285699999</v>
      </c>
      <c r="AX13" s="3">
        <v>336806457.4100001</v>
      </c>
      <c r="AY13" s="3">
        <v>170014.62</v>
      </c>
      <c r="AZ13" s="3">
        <v>68783089</v>
      </c>
      <c r="BA13" s="3">
        <f>AX13-AY13+AZ13</f>
        <v>405419531.7900001</v>
      </c>
      <c r="BB13" s="3">
        <f>BA13/1000</f>
        <v>405419.5317900001</v>
      </c>
      <c r="BD13" s="3">
        <v>337941479.91999996</v>
      </c>
      <c r="BE13" s="3">
        <v>187208.81</v>
      </c>
      <c r="BF13" s="3">
        <v>78570838.72999999</v>
      </c>
      <c r="BG13" s="3">
        <f>BD13-BE13+BF13</f>
        <v>416325109.8399999</v>
      </c>
      <c r="BH13" s="3">
        <f>BG13/1000</f>
        <v>416325.10983999993</v>
      </c>
      <c r="BJ13" s="3">
        <v>355070383.87999994</v>
      </c>
      <c r="BK13" s="3">
        <v>190965.94</v>
      </c>
      <c r="BL13" s="3">
        <v>85989016.77</v>
      </c>
      <c r="BM13" s="3">
        <f>BJ13-BK13+BL13</f>
        <v>440868434.7099999</v>
      </c>
      <c r="BN13" s="3">
        <f>BM13/1000</f>
        <v>440868.43470999994</v>
      </c>
      <c r="BP13" s="3">
        <v>350382228.59000003</v>
      </c>
      <c r="BQ13" s="3">
        <v>190038</v>
      </c>
      <c r="BR13" s="3">
        <v>87979478.07999998</v>
      </c>
      <c r="BS13" s="3">
        <f>BP13-BQ13+BR13</f>
        <v>438171668.67</v>
      </c>
      <c r="BT13" s="3">
        <f>BS13/1000</f>
        <v>438171.66867000004</v>
      </c>
    </row>
    <row r="14" spans="1:72" ht="12.75">
      <c r="A14" s="1" t="s">
        <v>8</v>
      </c>
      <c r="B14" s="1">
        <v>398555</v>
      </c>
      <c r="C14" s="1">
        <v>424535</v>
      </c>
      <c r="D14" s="1">
        <v>452130</v>
      </c>
      <c r="E14" s="1">
        <v>409620</v>
      </c>
      <c r="F14" s="1">
        <v>383272</v>
      </c>
      <c r="G14" s="1">
        <v>407609.64318</v>
      </c>
      <c r="H14" s="1">
        <v>549154.3303300001</v>
      </c>
      <c r="I14" s="1">
        <v>497883.3748100001</v>
      </c>
      <c r="J14" s="1">
        <v>505464.46131999994</v>
      </c>
      <c r="K14" s="1">
        <v>505638.70896000013</v>
      </c>
      <c r="L14" s="245">
        <f>(K14-J14)*100/J14</f>
        <v>0.03447277767959194</v>
      </c>
      <c r="M14" s="48">
        <f>(K14-AC14)*100/AC14</f>
        <v>42.380497662840895</v>
      </c>
      <c r="N14" s="14">
        <v>185311</v>
      </c>
      <c r="O14" s="14">
        <v>200822</v>
      </c>
      <c r="P14" s="14">
        <v>214558</v>
      </c>
      <c r="Q14" s="27">
        <v>229158</v>
      </c>
      <c r="R14" s="27">
        <v>246294</v>
      </c>
      <c r="S14" s="27">
        <v>265330</v>
      </c>
      <c r="T14" s="27">
        <v>290159</v>
      </c>
      <c r="U14" s="27">
        <v>294945</v>
      </c>
      <c r="V14" s="27">
        <v>301029</v>
      </c>
      <c r="W14" s="27">
        <f>233475.657+69524.136</f>
        <v>302999.793</v>
      </c>
      <c r="X14" s="36">
        <f>250113.606+76618.569</f>
        <v>326732.175</v>
      </c>
      <c r="Y14" s="14">
        <f>260001.703+81953.999</f>
        <v>341955.702</v>
      </c>
      <c r="Z14" s="14">
        <v>355402</v>
      </c>
      <c r="AA14" s="14">
        <v>328673</v>
      </c>
      <c r="AB14" s="1">
        <v>351684</v>
      </c>
      <c r="AC14" s="1">
        <v>355132</v>
      </c>
      <c r="AD14" s="14"/>
      <c r="AE14" s="3">
        <v>314086041</v>
      </c>
      <c r="AF14" s="3">
        <v>0</v>
      </c>
      <c r="AG14" s="3">
        <v>95534122</v>
      </c>
      <c r="AH14" s="3">
        <f>AE14-AF14+AG14</f>
        <v>409620163</v>
      </c>
      <c r="AI14" s="3">
        <f>AH14/1000</f>
        <v>409620.163</v>
      </c>
      <c r="AL14" s="3">
        <v>280806624</v>
      </c>
      <c r="AM14" s="3">
        <v>0</v>
      </c>
      <c r="AN14" s="3">
        <v>102465848</v>
      </c>
      <c r="AO14" s="3">
        <f>AL14-AM14+AN14</f>
        <v>383272472</v>
      </c>
      <c r="AP14" s="3">
        <f>AO14/1000</f>
        <v>383272.472</v>
      </c>
      <c r="AR14" s="3">
        <v>297265330.13</v>
      </c>
      <c r="AS14" s="3">
        <v>0</v>
      </c>
      <c r="AT14" s="3">
        <v>110344313.05</v>
      </c>
      <c r="AU14" s="3">
        <f>AR14-AS14+AT14</f>
        <v>407609643.18</v>
      </c>
      <c r="AV14" s="3">
        <f>AU14/1000</f>
        <v>407609.64318</v>
      </c>
      <c r="AX14" s="3">
        <v>427918501.1800001</v>
      </c>
      <c r="AY14" s="3">
        <v>0</v>
      </c>
      <c r="AZ14" s="3">
        <v>121235829.15</v>
      </c>
      <c r="BA14" s="3">
        <f>AX14-AY14+AZ14</f>
        <v>549154330.3300002</v>
      </c>
      <c r="BB14" s="3">
        <f>BA14/1000</f>
        <v>549154.3303300001</v>
      </c>
      <c r="BD14" s="3">
        <v>372509246.5800001</v>
      </c>
      <c r="BE14" s="3">
        <v>0</v>
      </c>
      <c r="BF14" s="3">
        <v>125374128.23</v>
      </c>
      <c r="BG14" s="3">
        <f>BD14-BE14+BF14</f>
        <v>497883374.8100001</v>
      </c>
      <c r="BH14" s="3">
        <f>BG14/1000</f>
        <v>497883.3748100001</v>
      </c>
      <c r="BJ14" s="3">
        <v>375824830.34999996</v>
      </c>
      <c r="BK14" s="3">
        <v>0</v>
      </c>
      <c r="BL14" s="3">
        <v>129639630.97</v>
      </c>
      <c r="BM14" s="3">
        <f>BJ14-BK14+BL14</f>
        <v>505464461.31999993</v>
      </c>
      <c r="BN14" s="3">
        <f>BM14/1000</f>
        <v>505464.46131999994</v>
      </c>
      <c r="BP14" s="3">
        <v>374827784.4900001</v>
      </c>
      <c r="BQ14" s="3">
        <v>0</v>
      </c>
      <c r="BR14" s="3">
        <v>130810924.47</v>
      </c>
      <c r="BS14" s="3">
        <f>BP14-BQ14+BR14</f>
        <v>505638708.96000016</v>
      </c>
      <c r="BT14" s="3">
        <f>BS14/1000</f>
        <v>505638.70896000013</v>
      </c>
    </row>
    <row r="15" spans="1:72" ht="12.75">
      <c r="A15" s="1" t="s">
        <v>9</v>
      </c>
      <c r="B15" s="1">
        <v>407517</v>
      </c>
      <c r="C15" s="1">
        <v>437209</v>
      </c>
      <c r="D15" s="1">
        <v>450778</v>
      </c>
      <c r="E15" s="1">
        <v>463601</v>
      </c>
      <c r="F15" s="1">
        <v>485949</v>
      </c>
      <c r="G15" s="1">
        <v>509698.28848000005</v>
      </c>
      <c r="H15" s="1">
        <v>585474.5013100001</v>
      </c>
      <c r="I15" s="1">
        <v>560837.3394600002</v>
      </c>
      <c r="J15" s="1">
        <v>562887.68432</v>
      </c>
      <c r="K15" s="1">
        <v>584659.1433799999</v>
      </c>
      <c r="L15" s="245">
        <f>(K15-J15)*100/J15</f>
        <v>3.867815847898867</v>
      </c>
      <c r="M15" s="48">
        <f>(K15-AC15)*100/AC15</f>
        <v>54.957870188867254</v>
      </c>
      <c r="N15" s="14">
        <v>187010</v>
      </c>
      <c r="O15" s="14">
        <v>199111</v>
      </c>
      <c r="P15" s="14">
        <v>216156</v>
      </c>
      <c r="Q15" s="27">
        <v>224709</v>
      </c>
      <c r="R15" s="27">
        <v>258046</v>
      </c>
      <c r="S15" s="27">
        <v>273859</v>
      </c>
      <c r="T15" s="27">
        <v>288003</v>
      </c>
      <c r="U15" s="27">
        <v>294923</v>
      </c>
      <c r="V15" s="27">
        <v>297512</v>
      </c>
      <c r="W15" s="27">
        <f>260815.351+44641.775</f>
        <v>305457.126</v>
      </c>
      <c r="X15" s="36">
        <f>279136.357+46436.483</f>
        <v>325572.84</v>
      </c>
      <c r="Y15" s="14">
        <f>289841.298+49987.526</f>
        <v>339828.824</v>
      </c>
      <c r="Z15" s="14">
        <v>356990</v>
      </c>
      <c r="AA15" s="14">
        <v>342268</v>
      </c>
      <c r="AB15" s="1">
        <v>349370</v>
      </c>
      <c r="AC15" s="1">
        <v>377302</v>
      </c>
      <c r="AD15" s="14"/>
      <c r="AE15" s="3">
        <v>373784450</v>
      </c>
      <c r="AF15" s="3">
        <v>154088.94</v>
      </c>
      <c r="AG15" s="3">
        <v>89970786</v>
      </c>
      <c r="AH15" s="3">
        <f>AE15-AF15+AG15</f>
        <v>463601147.06</v>
      </c>
      <c r="AI15" s="3">
        <f>AH15/1000</f>
        <v>463601.14706</v>
      </c>
      <c r="AL15" s="3">
        <v>388634826</v>
      </c>
      <c r="AM15" s="3">
        <v>137093.94</v>
      </c>
      <c r="AN15" s="3">
        <v>97451319</v>
      </c>
      <c r="AO15" s="3">
        <f>AL15-AM15+AN15</f>
        <v>485949051.06</v>
      </c>
      <c r="AP15" s="3">
        <f>AO15/1000</f>
        <v>485949.05106</v>
      </c>
      <c r="AR15" s="3">
        <v>404123629.25</v>
      </c>
      <c r="AS15" s="3">
        <v>217340.61</v>
      </c>
      <c r="AT15" s="3">
        <v>105791999.84</v>
      </c>
      <c r="AU15" s="3">
        <f>AR15-AS15+AT15</f>
        <v>509698288.48</v>
      </c>
      <c r="AV15" s="3">
        <f>AU15/1000</f>
        <v>509698.28848000005</v>
      </c>
      <c r="AX15" s="3">
        <v>472346379.89000005</v>
      </c>
      <c r="AY15" s="3">
        <v>312020.42</v>
      </c>
      <c r="AZ15" s="3">
        <v>113440141.84</v>
      </c>
      <c r="BA15" s="3">
        <f>AX15-AY15+AZ15</f>
        <v>585474501.3100001</v>
      </c>
      <c r="BB15" s="3">
        <f>BA15/1000</f>
        <v>585474.5013100001</v>
      </c>
      <c r="BD15" s="3">
        <v>441025220.27000016</v>
      </c>
      <c r="BE15" s="3">
        <v>320522.5</v>
      </c>
      <c r="BF15" s="3">
        <v>120132641.69</v>
      </c>
      <c r="BG15" s="3">
        <f>BD15-BE15+BF15</f>
        <v>560837339.4600002</v>
      </c>
      <c r="BH15" s="3">
        <f>BG15/1000</f>
        <v>560837.3394600002</v>
      </c>
      <c r="BJ15" s="3">
        <v>440585768.55</v>
      </c>
      <c r="BK15" s="3">
        <v>316534.15</v>
      </c>
      <c r="BL15" s="3">
        <v>122618449.92</v>
      </c>
      <c r="BM15" s="3">
        <f>BJ15-BK15+BL15</f>
        <v>562887684.32</v>
      </c>
      <c r="BN15" s="3">
        <f>BM15/1000</f>
        <v>562887.68432</v>
      </c>
      <c r="BP15" s="3">
        <v>454705774.59999996</v>
      </c>
      <c r="BQ15" s="3">
        <v>311811.85</v>
      </c>
      <c r="BR15" s="3">
        <v>130265180.63</v>
      </c>
      <c r="BS15" s="3">
        <f>BP15-BQ15+BR15</f>
        <v>584659143.3799999</v>
      </c>
      <c r="BT15" s="3">
        <f>BS15/1000</f>
        <v>584659.1433799999</v>
      </c>
    </row>
    <row r="16" spans="1:72" ht="12.75">
      <c r="A16" s="1" t="s">
        <v>10</v>
      </c>
      <c r="B16" s="1">
        <v>56889</v>
      </c>
      <c r="C16" s="1">
        <v>63190</v>
      </c>
      <c r="D16" s="1">
        <v>69935</v>
      </c>
      <c r="E16" s="1">
        <v>75655</v>
      </c>
      <c r="F16" s="1">
        <v>79302</v>
      </c>
      <c r="G16" s="1">
        <v>85922.30526000002</v>
      </c>
      <c r="H16" s="1">
        <v>94755.38637</v>
      </c>
      <c r="I16" s="1">
        <v>98475.70575</v>
      </c>
      <c r="J16" s="1">
        <v>103693.95647</v>
      </c>
      <c r="K16" s="1">
        <v>105367.54624999998</v>
      </c>
      <c r="L16" s="245">
        <f>(K16-J16)*100/J16</f>
        <v>1.6139704154158407</v>
      </c>
      <c r="M16" s="48">
        <f>(K16-AC16)*100/AC16</f>
        <v>101.81487502394174</v>
      </c>
      <c r="N16" s="14">
        <v>13960</v>
      </c>
      <c r="O16" s="14">
        <v>15143</v>
      </c>
      <c r="P16" s="14">
        <v>16755</v>
      </c>
      <c r="Q16" s="27">
        <v>18379</v>
      </c>
      <c r="R16" s="27">
        <v>21000</v>
      </c>
      <c r="S16" s="27">
        <v>23543</v>
      </c>
      <c r="T16" s="27">
        <v>26451</v>
      </c>
      <c r="U16" s="27">
        <v>30315</v>
      </c>
      <c r="V16" s="27">
        <v>32693</v>
      </c>
      <c r="W16" s="27">
        <f>30745.432+5085.919</f>
        <v>35831.351</v>
      </c>
      <c r="X16" s="36">
        <f>33056.258+5507.116</f>
        <v>38563.374</v>
      </c>
      <c r="Y16" s="14">
        <f>35630.831+5978.651</f>
        <v>41609.481999999996</v>
      </c>
      <c r="Z16" s="14">
        <v>45030</v>
      </c>
      <c r="AA16" s="14">
        <v>44276</v>
      </c>
      <c r="AB16" s="1">
        <v>47798</v>
      </c>
      <c r="AC16" s="1">
        <v>52210</v>
      </c>
      <c r="AD16" s="14"/>
      <c r="AE16" s="3">
        <v>62230447</v>
      </c>
      <c r="AF16" s="3">
        <v>191327.97</v>
      </c>
      <c r="AG16" s="3">
        <v>13616333</v>
      </c>
      <c r="AH16" s="3">
        <f>AE16-AF16+AG16</f>
        <v>75655452.03</v>
      </c>
      <c r="AI16" s="3">
        <f>AH16/1000</f>
        <v>75655.45203</v>
      </c>
      <c r="AL16" s="3">
        <v>65249194</v>
      </c>
      <c r="AM16" s="3">
        <v>203616.77</v>
      </c>
      <c r="AN16" s="3">
        <v>14256280</v>
      </c>
      <c r="AO16" s="3">
        <f>AL16-AM16+AN16</f>
        <v>79301857.22999999</v>
      </c>
      <c r="AP16" s="3">
        <f>AO16/1000</f>
        <v>79301.85723</v>
      </c>
      <c r="AR16" s="3">
        <v>70204832.15</v>
      </c>
      <c r="AS16" s="3">
        <v>186201.32</v>
      </c>
      <c r="AT16" s="3">
        <v>15903674.430000002</v>
      </c>
      <c r="AU16" s="3">
        <f>AR16-AS16+AT16</f>
        <v>85922305.26000002</v>
      </c>
      <c r="AV16" s="3">
        <f>AU16/1000</f>
        <v>85922.30526000002</v>
      </c>
      <c r="AX16" s="3">
        <v>78211453.00999999</v>
      </c>
      <c r="AY16" s="3">
        <v>332994.11</v>
      </c>
      <c r="AZ16" s="3">
        <v>16876927.47</v>
      </c>
      <c r="BA16" s="3">
        <f>AX16-AY16+AZ16</f>
        <v>94755386.36999999</v>
      </c>
      <c r="BB16" s="3">
        <f>BA16/1000</f>
        <v>94755.38637</v>
      </c>
      <c r="BD16" s="3">
        <v>79486746.21000001</v>
      </c>
      <c r="BE16" s="3">
        <v>331088.58</v>
      </c>
      <c r="BF16" s="3">
        <v>19320048.119999997</v>
      </c>
      <c r="BG16" s="3">
        <f>BD16-BE16+BF16</f>
        <v>98475705.75</v>
      </c>
      <c r="BH16" s="3">
        <f>BG16/1000</f>
        <v>98475.70575</v>
      </c>
      <c r="BJ16" s="3">
        <v>82598918.95</v>
      </c>
      <c r="BK16" s="3">
        <v>336854.94</v>
      </c>
      <c r="BL16" s="3">
        <v>21431892.459999997</v>
      </c>
      <c r="BM16" s="3">
        <f>BJ16-BK16+BL16</f>
        <v>103693956.47</v>
      </c>
      <c r="BN16" s="3">
        <f>BM16/1000</f>
        <v>103693.95647</v>
      </c>
      <c r="BP16" s="3">
        <v>83374901.34999998</v>
      </c>
      <c r="BQ16" s="3">
        <v>328525.99</v>
      </c>
      <c r="BR16" s="3">
        <v>22321170.89</v>
      </c>
      <c r="BS16" s="3">
        <f>BP16-BQ16+BR16</f>
        <v>105367546.24999999</v>
      </c>
      <c r="BT16" s="3">
        <f>BS16/1000</f>
        <v>105367.54624999998</v>
      </c>
    </row>
    <row r="17" spans="12:30" ht="12.75">
      <c r="L17" s="48"/>
      <c r="M17" s="48"/>
      <c r="N17" s="14"/>
      <c r="P17" s="14"/>
      <c r="Q17" s="27"/>
      <c r="R17" s="27"/>
      <c r="S17" s="27"/>
      <c r="T17" s="27"/>
      <c r="U17" s="27"/>
      <c r="V17" s="27"/>
      <c r="W17" s="27"/>
      <c r="X17" s="36"/>
      <c r="Y17" s="14"/>
      <c r="Z17" s="14"/>
      <c r="AA17" s="14"/>
      <c r="AB17" s="1"/>
      <c r="AC17" s="1"/>
      <c r="AD17" s="14"/>
    </row>
    <row r="18" spans="1:72" ht="12.75">
      <c r="A18" s="1" t="s">
        <v>11</v>
      </c>
      <c r="B18" s="1">
        <v>18582</v>
      </c>
      <c r="C18" s="1">
        <v>19819</v>
      </c>
      <c r="D18" s="1">
        <v>21162</v>
      </c>
      <c r="E18" s="1">
        <v>22226</v>
      </c>
      <c r="F18" s="1">
        <v>22814</v>
      </c>
      <c r="G18" s="1">
        <v>23766.702840000005</v>
      </c>
      <c r="H18" s="1">
        <v>28450.034259999997</v>
      </c>
      <c r="I18" s="1">
        <v>28048.36507</v>
      </c>
      <c r="J18" s="1">
        <v>29122.760890000005</v>
      </c>
      <c r="K18" s="1">
        <v>29639.660170000003</v>
      </c>
      <c r="L18" s="245">
        <f>(K18-J18)*100/J18</f>
        <v>1.7748979293288347</v>
      </c>
      <c r="M18" s="48">
        <f>(K18-AC18)*100/AC18</f>
        <v>65.39065995201162</v>
      </c>
      <c r="N18" s="14">
        <v>6316</v>
      </c>
      <c r="O18" s="14">
        <v>6797</v>
      </c>
      <c r="P18" s="14">
        <v>7933</v>
      </c>
      <c r="Q18" s="27">
        <v>8877</v>
      </c>
      <c r="R18" s="27">
        <v>9900</v>
      </c>
      <c r="S18" s="27">
        <v>10920</v>
      </c>
      <c r="T18" s="27">
        <v>12072</v>
      </c>
      <c r="U18" s="27">
        <v>12784</v>
      </c>
      <c r="V18" s="27">
        <v>13201</v>
      </c>
      <c r="W18" s="27">
        <f>12490.428+1615.668</f>
        <v>14106.096</v>
      </c>
      <c r="X18" s="36">
        <f>13274.194+1826.502</f>
        <v>15100.696</v>
      </c>
      <c r="Y18" s="14">
        <f>14212.639+1959.597</f>
        <v>16172.235999999999</v>
      </c>
      <c r="Z18" s="14">
        <v>16926</v>
      </c>
      <c r="AA18" s="14">
        <v>16267</v>
      </c>
      <c r="AB18" s="1">
        <v>17470</v>
      </c>
      <c r="AC18" s="1">
        <v>17921</v>
      </c>
      <c r="AD18" s="14"/>
      <c r="AE18" s="3">
        <v>18592989</v>
      </c>
      <c r="AF18" s="3">
        <v>0</v>
      </c>
      <c r="AG18" s="3">
        <v>3632785.6</v>
      </c>
      <c r="AH18" s="3">
        <f>AE18-AF18+AG18</f>
        <v>22225774.6</v>
      </c>
      <c r="AI18" s="3">
        <f>AH18/1000</f>
        <v>22225.7746</v>
      </c>
      <c r="AL18" s="3">
        <v>19151266</v>
      </c>
      <c r="AM18" s="3">
        <v>0</v>
      </c>
      <c r="AN18" s="3">
        <v>3663055.18</v>
      </c>
      <c r="AO18" s="3">
        <f>AL18-AM18+AN18</f>
        <v>22814321.18</v>
      </c>
      <c r="AP18" s="3">
        <f>AO18/1000</f>
        <v>22814.32118</v>
      </c>
      <c r="AR18" s="3">
        <v>19821002.320000004</v>
      </c>
      <c r="AS18" s="3">
        <v>0</v>
      </c>
      <c r="AT18" s="3">
        <v>3945700.52</v>
      </c>
      <c r="AU18" s="3">
        <f>AR18-AS18+AT18</f>
        <v>23766702.840000004</v>
      </c>
      <c r="AV18" s="3">
        <f>AU18/1000</f>
        <v>23766.702840000005</v>
      </c>
      <c r="AX18" s="3">
        <v>24126023.929999996</v>
      </c>
      <c r="AY18" s="3">
        <v>0</v>
      </c>
      <c r="AZ18" s="3">
        <v>4324010.33</v>
      </c>
      <c r="BA18" s="3">
        <f>AX18-AY18+AZ18</f>
        <v>28450034.259999998</v>
      </c>
      <c r="BB18" s="3">
        <f>BA18/1000</f>
        <v>28450.034259999997</v>
      </c>
      <c r="BD18" s="3">
        <v>23585330.419999998</v>
      </c>
      <c r="BE18" s="3">
        <v>0</v>
      </c>
      <c r="BF18" s="3">
        <v>4463034.65</v>
      </c>
      <c r="BG18" s="3">
        <f>BD18-BE18+BF18</f>
        <v>28048365.07</v>
      </c>
      <c r="BH18" s="3">
        <f>BG18/1000</f>
        <v>28048.36507</v>
      </c>
      <c r="BJ18" s="3">
        <v>24456386.340000004</v>
      </c>
      <c r="BK18" s="3">
        <v>0</v>
      </c>
      <c r="BL18" s="3">
        <v>4666374.550000001</v>
      </c>
      <c r="BM18" s="3">
        <f>BJ18-BK18+BL18</f>
        <v>29122760.890000004</v>
      </c>
      <c r="BN18" s="3">
        <f>BM18/1000</f>
        <v>29122.760890000005</v>
      </c>
      <c r="BP18" s="3">
        <v>24747849.41</v>
      </c>
      <c r="BQ18" s="3">
        <v>0</v>
      </c>
      <c r="BR18" s="3">
        <v>4891810.76</v>
      </c>
      <c r="BS18" s="3">
        <f>BP18-BQ18+BR18</f>
        <v>29639660.17</v>
      </c>
      <c r="BT18" s="3">
        <f>BS18/1000</f>
        <v>29639.660170000003</v>
      </c>
    </row>
    <row r="19" spans="1:72" ht="12.75">
      <c r="A19" s="1" t="s">
        <v>12</v>
      </c>
      <c r="B19" s="1">
        <v>93339</v>
      </c>
      <c r="C19" s="1">
        <v>100264</v>
      </c>
      <c r="D19" s="1">
        <v>105636</v>
      </c>
      <c r="E19" s="1">
        <v>112967</v>
      </c>
      <c r="F19" s="1">
        <v>119724</v>
      </c>
      <c r="G19" s="1">
        <v>128055.34163999998</v>
      </c>
      <c r="H19" s="1">
        <v>148521.65791</v>
      </c>
      <c r="I19" s="1">
        <v>151203.75513</v>
      </c>
      <c r="J19" s="1">
        <v>153826.84773999997</v>
      </c>
      <c r="K19" s="1">
        <v>152942.93951000003</v>
      </c>
      <c r="L19" s="245">
        <f>(K19-J19)*100/J19</f>
        <v>-0.574612457439117</v>
      </c>
      <c r="M19" s="48">
        <f>(K19-AC19)*100/AC19</f>
        <v>77.31281245362644</v>
      </c>
      <c r="N19" s="14">
        <v>30407</v>
      </c>
      <c r="O19" s="14">
        <v>33201</v>
      </c>
      <c r="P19" s="14">
        <v>36765</v>
      </c>
      <c r="Q19" s="27">
        <v>41664</v>
      </c>
      <c r="R19" s="27">
        <v>48096</v>
      </c>
      <c r="S19" s="27">
        <v>53331</v>
      </c>
      <c r="T19" s="27">
        <v>58352</v>
      </c>
      <c r="U19" s="27">
        <v>61496</v>
      </c>
      <c r="V19" s="27">
        <v>63844</v>
      </c>
      <c r="W19" s="27">
        <f>59376.415+8301.349</f>
        <v>67677.764</v>
      </c>
      <c r="X19" s="36">
        <f>63322.936+9118.007</f>
        <v>72440.943</v>
      </c>
      <c r="Y19" s="14">
        <f>66691.727+10065.507</f>
        <v>76757.234</v>
      </c>
      <c r="Z19" s="14">
        <v>77606</v>
      </c>
      <c r="AA19" s="14">
        <v>76084</v>
      </c>
      <c r="AB19" s="1">
        <v>81496</v>
      </c>
      <c r="AC19" s="1">
        <v>86256</v>
      </c>
      <c r="AD19" s="14"/>
      <c r="AE19" s="3">
        <v>94614711</v>
      </c>
      <c r="AF19" s="3">
        <v>373512.02</v>
      </c>
      <c r="AG19" s="3">
        <v>18725505</v>
      </c>
      <c r="AH19" s="3">
        <f>AE19-AF19+AG19</f>
        <v>112966703.98</v>
      </c>
      <c r="AI19" s="3">
        <f>AH19/1000</f>
        <v>112966.70398</v>
      </c>
      <c r="AL19" s="3">
        <v>99755406</v>
      </c>
      <c r="AM19" s="3">
        <v>398990.88</v>
      </c>
      <c r="AN19" s="3">
        <v>20367231</v>
      </c>
      <c r="AO19" s="3">
        <f>AL19-AM19+AN19</f>
        <v>119723646.12</v>
      </c>
      <c r="AP19" s="3">
        <f>AO19/1000</f>
        <v>119723.64612</v>
      </c>
      <c r="AR19" s="3">
        <v>106535462.99999999</v>
      </c>
      <c r="AS19" s="3">
        <v>409615.23</v>
      </c>
      <c r="AT19" s="3">
        <v>21929493.87</v>
      </c>
      <c r="AU19" s="3">
        <f>AR19-AS19+AT19</f>
        <v>128055341.63999999</v>
      </c>
      <c r="AV19" s="3">
        <f>AU19/1000</f>
        <v>128055.34163999998</v>
      </c>
      <c r="AX19" s="3">
        <v>125138312.21</v>
      </c>
      <c r="AY19" s="3">
        <v>535254.55</v>
      </c>
      <c r="AZ19" s="3">
        <v>23918600.25</v>
      </c>
      <c r="BA19" s="3">
        <f>AX19-AY19+AZ19</f>
        <v>148521657.91</v>
      </c>
      <c r="BB19" s="3">
        <f>BA19/1000</f>
        <v>148521.65791</v>
      </c>
      <c r="BD19" s="3">
        <v>125065871.2</v>
      </c>
      <c r="BE19" s="3">
        <v>261155.65</v>
      </c>
      <c r="BF19" s="3">
        <v>26399039.580000006</v>
      </c>
      <c r="BG19" s="3">
        <f>BD19-BE19+BF19</f>
        <v>151203755.13</v>
      </c>
      <c r="BH19" s="3">
        <f>BG19/1000</f>
        <v>151203.75513</v>
      </c>
      <c r="BJ19" s="3">
        <v>127211404.61999997</v>
      </c>
      <c r="BK19" s="3">
        <v>0</v>
      </c>
      <c r="BL19" s="3">
        <v>26615443.119999997</v>
      </c>
      <c r="BM19" s="3">
        <f>BJ19-BK19+BL19</f>
        <v>153826847.73999998</v>
      </c>
      <c r="BN19" s="3">
        <f>BM19/1000</f>
        <v>153826.84773999997</v>
      </c>
      <c r="BP19" s="3">
        <v>125615762.58000001</v>
      </c>
      <c r="BQ19" s="3">
        <v>0</v>
      </c>
      <c r="BR19" s="3">
        <v>27327176.929999996</v>
      </c>
      <c r="BS19" s="3">
        <f>BP19-BQ19+BR19</f>
        <v>152942939.51000002</v>
      </c>
      <c r="BT19" s="3">
        <f>BS19/1000</f>
        <v>152942.93951000003</v>
      </c>
    </row>
    <row r="20" spans="1:72" ht="12.75">
      <c r="A20" s="1" t="s">
        <v>13</v>
      </c>
      <c r="B20" s="1">
        <v>53879</v>
      </c>
      <c r="C20" s="1">
        <v>57403</v>
      </c>
      <c r="D20" s="1">
        <v>60292</v>
      </c>
      <c r="E20" s="1">
        <v>63947</v>
      </c>
      <c r="F20" s="1">
        <v>67825</v>
      </c>
      <c r="G20" s="1">
        <v>73191.78221</v>
      </c>
      <c r="H20" s="1">
        <v>85178.35708999999</v>
      </c>
      <c r="I20" s="1">
        <v>83352.64328999999</v>
      </c>
      <c r="J20" s="1">
        <v>86771.79307</v>
      </c>
      <c r="K20" s="1">
        <v>88692.02351999999</v>
      </c>
      <c r="L20" s="245">
        <f>(K20-J20)*100/J20</f>
        <v>2.212966197956647</v>
      </c>
      <c r="M20" s="48">
        <f>(K20-AC20)*100/AC20</f>
        <v>78.95527434878228</v>
      </c>
      <c r="N20" s="14">
        <v>18939</v>
      </c>
      <c r="O20" s="14">
        <v>20867</v>
      </c>
      <c r="P20" s="14">
        <v>22850</v>
      </c>
      <c r="Q20" s="27">
        <v>25468</v>
      </c>
      <c r="R20" s="27">
        <v>27922</v>
      </c>
      <c r="S20" s="27">
        <v>31316</v>
      </c>
      <c r="T20" s="27">
        <v>33926</v>
      </c>
      <c r="U20" s="27">
        <v>35495</v>
      </c>
      <c r="V20" s="27">
        <v>37395</v>
      </c>
      <c r="W20" s="27">
        <f>33447.211+5666.297</f>
        <v>39113.508</v>
      </c>
      <c r="X20" s="36">
        <f>36423.041+6205.43</f>
        <v>42628.471</v>
      </c>
      <c r="Y20" s="14">
        <f>37633.736+6639.222</f>
        <v>44272.958</v>
      </c>
      <c r="Z20" s="14">
        <v>46415</v>
      </c>
      <c r="AA20" s="14">
        <v>43813</v>
      </c>
      <c r="AB20" s="1">
        <v>46881</v>
      </c>
      <c r="AC20" s="1">
        <v>49561</v>
      </c>
      <c r="AD20" s="14"/>
      <c r="AE20" s="3">
        <v>51033162</v>
      </c>
      <c r="AF20" s="3">
        <v>0</v>
      </c>
      <c r="AG20" s="3">
        <v>12913411</v>
      </c>
      <c r="AH20" s="3">
        <f>AE20-AF20+AG20</f>
        <v>63946573</v>
      </c>
      <c r="AI20" s="3">
        <f>AH20/1000</f>
        <v>63946.573</v>
      </c>
      <c r="AL20" s="3">
        <v>54207475</v>
      </c>
      <c r="AM20" s="3">
        <v>0</v>
      </c>
      <c r="AN20" s="3">
        <v>13617223</v>
      </c>
      <c r="AO20" s="3">
        <f>AL20-AM20+AN20</f>
        <v>67824698</v>
      </c>
      <c r="AP20" s="3">
        <f>AO20/1000</f>
        <v>67824.698</v>
      </c>
      <c r="AR20" s="3">
        <v>57924178.7</v>
      </c>
      <c r="AS20" s="3">
        <v>0</v>
      </c>
      <c r="AT20" s="3">
        <v>15267603.51</v>
      </c>
      <c r="AU20" s="3">
        <f>AR20-AS20+AT20</f>
        <v>73191782.21000001</v>
      </c>
      <c r="AV20" s="3">
        <f>AU20/1000</f>
        <v>73191.78221</v>
      </c>
      <c r="AX20" s="3">
        <v>68706666.22999999</v>
      </c>
      <c r="AY20" s="3">
        <v>0</v>
      </c>
      <c r="AZ20" s="3">
        <v>16471690.86</v>
      </c>
      <c r="BA20" s="3">
        <f>AX20-AY20+AZ20</f>
        <v>85178357.08999999</v>
      </c>
      <c r="BB20" s="3">
        <f>BA20/1000</f>
        <v>85178.35708999999</v>
      </c>
      <c r="BD20" s="3">
        <v>65284746.19999999</v>
      </c>
      <c r="BE20" s="3">
        <v>0</v>
      </c>
      <c r="BF20" s="3">
        <v>18067897.09</v>
      </c>
      <c r="BG20" s="3">
        <f>BD20-BE20+BF20</f>
        <v>83352643.28999999</v>
      </c>
      <c r="BH20" s="3">
        <f>BG20/1000</f>
        <v>83352.64328999999</v>
      </c>
      <c r="BJ20" s="3">
        <v>67418883.52999999</v>
      </c>
      <c r="BK20" s="3">
        <v>0</v>
      </c>
      <c r="BL20" s="3">
        <v>19352909.54</v>
      </c>
      <c r="BM20" s="3">
        <f>BJ20-BK20+BL20</f>
        <v>86771793.07</v>
      </c>
      <c r="BN20" s="3">
        <f>BM20/1000</f>
        <v>86771.79307</v>
      </c>
      <c r="BP20" s="3">
        <v>68835893.78999999</v>
      </c>
      <c r="BQ20" s="3">
        <v>0</v>
      </c>
      <c r="BR20" s="3">
        <v>19856129.729999997</v>
      </c>
      <c r="BS20" s="3">
        <f>BP20-BQ20+BR20</f>
        <v>88692023.51999998</v>
      </c>
      <c r="BT20" s="3">
        <f>BS20/1000</f>
        <v>88692.02351999999</v>
      </c>
    </row>
    <row r="21" spans="1:72" ht="12.75">
      <c r="A21" s="1" t="s">
        <v>14</v>
      </c>
      <c r="B21" s="1">
        <v>81350</v>
      </c>
      <c r="C21" s="1">
        <v>88239</v>
      </c>
      <c r="D21" s="1">
        <v>94555</v>
      </c>
      <c r="E21" s="1">
        <v>99872</v>
      </c>
      <c r="F21" s="1">
        <v>107033</v>
      </c>
      <c r="G21" s="1">
        <v>117815.48083000001</v>
      </c>
      <c r="H21" s="1">
        <v>142878.24476000003</v>
      </c>
      <c r="I21" s="1">
        <v>143887.57520000002</v>
      </c>
      <c r="J21" s="1">
        <v>151451.09824999998</v>
      </c>
      <c r="K21" s="1">
        <v>154605.19453</v>
      </c>
      <c r="L21" s="245">
        <f>(K21-J21)*100/J21</f>
        <v>2.0825839603972813</v>
      </c>
      <c r="M21" s="48">
        <f>(K21-AC21)*100/AC21</f>
        <v>111.8053463709346</v>
      </c>
      <c r="N21" s="14">
        <v>26795</v>
      </c>
      <c r="O21" s="14">
        <v>28739</v>
      </c>
      <c r="P21" s="14">
        <v>31926</v>
      </c>
      <c r="Q21" s="27">
        <v>35569</v>
      </c>
      <c r="R21" s="27">
        <v>40082</v>
      </c>
      <c r="S21" s="27">
        <v>45219</v>
      </c>
      <c r="T21" s="27">
        <v>50366</v>
      </c>
      <c r="U21" s="27">
        <v>52833</v>
      </c>
      <c r="V21" s="27">
        <v>56422</v>
      </c>
      <c r="W21" s="27">
        <f>50977.573+9331.016</f>
        <v>60308.58899999999</v>
      </c>
      <c r="X21" s="36">
        <f>53572.814+9817.683</f>
        <v>63390.497</v>
      </c>
      <c r="Y21" s="14">
        <f>54692.233+9445.924</f>
        <v>64138.157</v>
      </c>
      <c r="Z21" s="14">
        <v>64879</v>
      </c>
      <c r="AA21" s="14">
        <v>63494</v>
      </c>
      <c r="AB21" s="1">
        <v>67884</v>
      </c>
      <c r="AC21" s="1">
        <v>72994</v>
      </c>
      <c r="AD21" s="14"/>
      <c r="AE21" s="3">
        <v>83758459</v>
      </c>
      <c r="AF21" s="3">
        <v>573820.12</v>
      </c>
      <c r="AG21" s="3">
        <v>16687422</v>
      </c>
      <c r="AH21" s="3">
        <f>AE21-AF21+AG21</f>
        <v>99872060.88</v>
      </c>
      <c r="AI21" s="3">
        <f>AH21/1000</f>
        <v>99872.06087999999</v>
      </c>
      <c r="AL21" s="3">
        <v>89386686</v>
      </c>
      <c r="AM21" s="3">
        <v>630138.36</v>
      </c>
      <c r="AN21" s="3">
        <v>18276252</v>
      </c>
      <c r="AO21" s="3">
        <f>AL21-AM21+AN21</f>
        <v>107032799.64</v>
      </c>
      <c r="AP21" s="3">
        <f>AO21/1000</f>
        <v>107032.79964</v>
      </c>
      <c r="AR21" s="3">
        <v>98202912.26000002</v>
      </c>
      <c r="AS21" s="3">
        <v>685110.25</v>
      </c>
      <c r="AT21" s="3">
        <v>20297678.82</v>
      </c>
      <c r="AU21" s="3">
        <f>AR21-AS21+AT21</f>
        <v>117815480.83000001</v>
      </c>
      <c r="AV21" s="3">
        <f>AU21/1000</f>
        <v>117815.48083000001</v>
      </c>
      <c r="AX21" s="3">
        <v>121220133.07000002</v>
      </c>
      <c r="AY21" s="3">
        <v>650043.44</v>
      </c>
      <c r="AZ21" s="3">
        <v>22308155.13</v>
      </c>
      <c r="BA21" s="3">
        <f>AX21-AY21+AZ21</f>
        <v>142878244.76000002</v>
      </c>
      <c r="BB21" s="3">
        <f>BA21/1000</f>
        <v>142878.24476000003</v>
      </c>
      <c r="BD21" s="3">
        <v>119393429.15</v>
      </c>
      <c r="BE21" s="3">
        <v>664708.05</v>
      </c>
      <c r="BF21" s="3">
        <v>25158854.1</v>
      </c>
      <c r="BG21" s="3">
        <f>BD21-BE21+BF21</f>
        <v>143887575.20000002</v>
      </c>
      <c r="BH21" s="3">
        <f>BG21/1000</f>
        <v>143887.57520000002</v>
      </c>
      <c r="BJ21" s="3">
        <v>124888121.39999998</v>
      </c>
      <c r="BK21" s="3">
        <v>721198.53</v>
      </c>
      <c r="BL21" s="3">
        <v>27284175.380000003</v>
      </c>
      <c r="BM21" s="3">
        <f>BJ21-BK21+BL21</f>
        <v>151451098.24999997</v>
      </c>
      <c r="BN21" s="3">
        <f>BM21/1000</f>
        <v>151451.09824999998</v>
      </c>
      <c r="BP21" s="3">
        <v>126813946.25999999</v>
      </c>
      <c r="BQ21" s="3">
        <v>622694.95</v>
      </c>
      <c r="BR21" s="3">
        <v>28413943.220000003</v>
      </c>
      <c r="BS21" s="3">
        <f>BP21-BQ21+BR21</f>
        <v>154605194.53</v>
      </c>
      <c r="BT21" s="3">
        <f>BS21/1000</f>
        <v>154605.19453</v>
      </c>
    </row>
    <row r="22" spans="1:72" ht="12.75">
      <c r="A22" s="1" t="s">
        <v>15</v>
      </c>
      <c r="B22" s="1">
        <v>18714</v>
      </c>
      <c r="C22" s="1">
        <v>18487</v>
      </c>
      <c r="D22" s="1">
        <v>19083</v>
      </c>
      <c r="E22" s="1">
        <v>19688</v>
      </c>
      <c r="F22" s="1">
        <v>20734</v>
      </c>
      <c r="G22" s="1">
        <v>21936.319569999996</v>
      </c>
      <c r="H22" s="1">
        <v>25858.852829999993</v>
      </c>
      <c r="I22" s="1">
        <v>25824.719500000007</v>
      </c>
      <c r="J22" s="1">
        <v>26321.913940000002</v>
      </c>
      <c r="K22" s="1">
        <v>25482.117480000004</v>
      </c>
      <c r="L22" s="245">
        <f>(K22-J22)*100/J22</f>
        <v>-3.190484027545596</v>
      </c>
      <c r="M22" s="48">
        <f>(K22-AC22)*100/AC22</f>
        <v>44.94122905409252</v>
      </c>
      <c r="N22" s="14">
        <v>8580</v>
      </c>
      <c r="O22" s="14">
        <v>9160</v>
      </c>
      <c r="P22" s="14">
        <v>9773</v>
      </c>
      <c r="Q22" s="27">
        <v>10693</v>
      </c>
      <c r="R22" s="27">
        <v>11737</v>
      </c>
      <c r="S22" s="27">
        <v>12870</v>
      </c>
      <c r="T22" s="27">
        <v>13552</v>
      </c>
      <c r="U22" s="27">
        <v>13395</v>
      </c>
      <c r="V22" s="27">
        <v>13961</v>
      </c>
      <c r="W22" s="27">
        <f>12755.609+1952.997</f>
        <v>14708.606</v>
      </c>
      <c r="X22" s="36">
        <f>13482.615+2066.83</f>
        <v>15549.445</v>
      </c>
      <c r="Y22" s="14">
        <f>13587.873+2207.224</f>
        <v>15795.097</v>
      </c>
      <c r="Z22" s="14">
        <v>16785</v>
      </c>
      <c r="AA22" s="14">
        <v>15925</v>
      </c>
      <c r="AB22" s="1">
        <v>16569</v>
      </c>
      <c r="AC22" s="1">
        <v>17581</v>
      </c>
      <c r="AD22" s="14"/>
      <c r="AE22" s="3">
        <v>16702531</v>
      </c>
      <c r="AF22" s="3">
        <v>200446.2</v>
      </c>
      <c r="AG22" s="3">
        <v>3186317.75</v>
      </c>
      <c r="AH22" s="3">
        <f>AE22-AF22+AG22</f>
        <v>19688402.55</v>
      </c>
      <c r="AI22" s="3">
        <f>AH22/1000</f>
        <v>19688.402550000003</v>
      </c>
      <c r="AL22" s="3">
        <v>17615660</v>
      </c>
      <c r="AM22" s="3">
        <v>220199.88</v>
      </c>
      <c r="AN22" s="3">
        <v>3339031.79</v>
      </c>
      <c r="AO22" s="3">
        <f>AL22-AM22+AN22</f>
        <v>20734491.91</v>
      </c>
      <c r="AP22" s="3">
        <f>AO22/1000</f>
        <v>20734.49191</v>
      </c>
      <c r="AR22" s="3">
        <v>18618080.689999998</v>
      </c>
      <c r="AS22" s="3">
        <v>213472.75</v>
      </c>
      <c r="AT22" s="3">
        <v>3531711.63</v>
      </c>
      <c r="AU22" s="3">
        <f>AR22-AS22+AT22</f>
        <v>21936319.569999997</v>
      </c>
      <c r="AV22" s="3">
        <f>AU22/1000</f>
        <v>21936.319569999996</v>
      </c>
      <c r="AX22" s="3">
        <v>22233943.019999992</v>
      </c>
      <c r="AY22" s="3">
        <v>322806</v>
      </c>
      <c r="AZ22" s="3">
        <v>3947715.81</v>
      </c>
      <c r="BA22" s="3">
        <f>AX22-AY22+AZ22</f>
        <v>25858852.82999999</v>
      </c>
      <c r="BB22" s="3">
        <f>BA22/1000</f>
        <v>25858.852829999993</v>
      </c>
      <c r="BD22" s="3">
        <v>21953522.49000001</v>
      </c>
      <c r="BE22" s="3">
        <v>402591.39</v>
      </c>
      <c r="BF22" s="3">
        <v>4273788.4</v>
      </c>
      <c r="BG22" s="3">
        <f>BD22-BE22+BF22</f>
        <v>25824719.500000007</v>
      </c>
      <c r="BH22" s="3">
        <f>BG22/1000</f>
        <v>25824.719500000007</v>
      </c>
      <c r="BJ22" s="3">
        <v>22050217.330000002</v>
      </c>
      <c r="BK22" s="3">
        <v>111293.25</v>
      </c>
      <c r="BL22" s="3">
        <v>4382989.859999999</v>
      </c>
      <c r="BM22" s="3">
        <f>BJ22-BK22+BL22</f>
        <v>26321913.94</v>
      </c>
      <c r="BN22" s="3">
        <f>BM22/1000</f>
        <v>26321.913940000002</v>
      </c>
      <c r="BP22" s="3">
        <v>21410083.340000004</v>
      </c>
      <c r="BQ22" s="3">
        <v>53253</v>
      </c>
      <c r="BR22" s="3">
        <v>4125287.1399999997</v>
      </c>
      <c r="BS22" s="3">
        <f>BP22-BQ22+BR22</f>
        <v>25482117.480000004</v>
      </c>
      <c r="BT22" s="3">
        <f>BS22/1000</f>
        <v>25482.117480000004</v>
      </c>
    </row>
    <row r="23" spans="12:30" ht="12.75">
      <c r="L23" s="48"/>
      <c r="M23" s="48"/>
      <c r="N23" s="14"/>
      <c r="P23" s="14"/>
      <c r="Q23" s="27"/>
      <c r="R23" s="27"/>
      <c r="S23" s="27"/>
      <c r="T23" s="27"/>
      <c r="U23" s="27"/>
      <c r="V23" s="27"/>
      <c r="W23" s="27"/>
      <c r="X23" s="36"/>
      <c r="Y23" s="14"/>
      <c r="Z23" s="14"/>
      <c r="AA23" s="14"/>
      <c r="AB23" s="1"/>
      <c r="AC23" s="1"/>
      <c r="AD23" s="14"/>
    </row>
    <row r="24" spans="1:72" ht="12.75">
      <c r="A24" s="1" t="s">
        <v>16</v>
      </c>
      <c r="B24" s="1">
        <v>128643</v>
      </c>
      <c r="C24" s="1">
        <v>141866</v>
      </c>
      <c r="D24" s="1">
        <v>148863</v>
      </c>
      <c r="E24" s="1">
        <v>156737</v>
      </c>
      <c r="F24" s="1">
        <v>168331</v>
      </c>
      <c r="G24" s="1">
        <v>180133.71491000004</v>
      </c>
      <c r="H24" s="1">
        <v>209129.69336999994</v>
      </c>
      <c r="I24" s="1">
        <v>219833.10730999996</v>
      </c>
      <c r="J24" s="1">
        <v>230166.84328000003</v>
      </c>
      <c r="K24" s="1">
        <v>228413.73190999997</v>
      </c>
      <c r="L24" s="245">
        <f>(K24-J24)*100/J24</f>
        <v>-0.7616698152597858</v>
      </c>
      <c r="M24" s="48">
        <f>(K24-AC24)*100/AC24</f>
        <v>94.22110616895539</v>
      </c>
      <c r="N24" s="14">
        <v>38692</v>
      </c>
      <c r="O24" s="14">
        <v>41981</v>
      </c>
      <c r="P24" s="14">
        <v>46730</v>
      </c>
      <c r="Q24" s="27">
        <v>52140</v>
      </c>
      <c r="R24" s="27">
        <v>59105</v>
      </c>
      <c r="S24" s="27">
        <v>66710</v>
      </c>
      <c r="T24" s="27">
        <v>73706</v>
      </c>
      <c r="U24" s="27">
        <v>79051</v>
      </c>
      <c r="V24" s="27">
        <v>83670</v>
      </c>
      <c r="W24" s="27">
        <f>79682.016+10331.642</f>
        <v>90013.658</v>
      </c>
      <c r="X24" s="36">
        <f>87428.687+11649.314</f>
        <v>99078.001</v>
      </c>
      <c r="Y24" s="14">
        <f>89429.424+12245.573</f>
        <v>101674.997</v>
      </c>
      <c r="Z24" s="14">
        <v>104990</v>
      </c>
      <c r="AA24" s="14">
        <v>102455</v>
      </c>
      <c r="AB24" s="1">
        <v>110067</v>
      </c>
      <c r="AC24" s="1">
        <v>117605</v>
      </c>
      <c r="AD24" s="14"/>
      <c r="AE24" s="3">
        <v>134649688</v>
      </c>
      <c r="AF24" s="3">
        <v>556932.21</v>
      </c>
      <c r="AG24" s="3">
        <v>22644209</v>
      </c>
      <c r="AH24" s="3">
        <f>AE24-AF24+AG24</f>
        <v>156736964.79000002</v>
      </c>
      <c r="AI24" s="3">
        <f>AH24/1000</f>
        <v>156736.96479000003</v>
      </c>
      <c r="AL24" s="3">
        <v>143918608</v>
      </c>
      <c r="AM24" s="3">
        <v>665736.98</v>
      </c>
      <c r="AN24" s="3">
        <v>25078131</v>
      </c>
      <c r="AO24" s="3">
        <f>AL24-AM24+AN24</f>
        <v>168331002.02</v>
      </c>
      <c r="AP24" s="3">
        <f>AO24/1000</f>
        <v>168331.00202</v>
      </c>
      <c r="AR24" s="3">
        <v>152977106.27000004</v>
      </c>
      <c r="AS24" s="3">
        <v>763330.83</v>
      </c>
      <c r="AT24" s="3">
        <v>27919939.47</v>
      </c>
      <c r="AU24" s="3">
        <f>AR24-AS24+AT24</f>
        <v>180133714.91000003</v>
      </c>
      <c r="AV24" s="3">
        <f>AU24/1000</f>
        <v>180133.71491000004</v>
      </c>
      <c r="AX24" s="3">
        <v>178939717.73999995</v>
      </c>
      <c r="AY24" s="3">
        <v>857227.17</v>
      </c>
      <c r="AZ24" s="3">
        <v>31047202.799999997</v>
      </c>
      <c r="BA24" s="3">
        <f>AX24-AY24+AZ24</f>
        <v>209129693.36999995</v>
      </c>
      <c r="BB24" s="3">
        <f>BA24/1000</f>
        <v>209129.69336999994</v>
      </c>
      <c r="BD24" s="3">
        <v>185260029.39</v>
      </c>
      <c r="BE24" s="3">
        <v>880445.06</v>
      </c>
      <c r="BF24" s="3">
        <v>35453522.97999999</v>
      </c>
      <c r="BG24" s="3">
        <f>BD24-BE24+BF24</f>
        <v>219833107.30999997</v>
      </c>
      <c r="BH24" s="3">
        <f>BG24/1000</f>
        <v>219833.10730999996</v>
      </c>
      <c r="BJ24" s="3">
        <v>192678920.84000003</v>
      </c>
      <c r="BK24" s="3">
        <v>844450.0000000001</v>
      </c>
      <c r="BL24" s="3">
        <v>38332372.44</v>
      </c>
      <c r="BM24" s="3">
        <f>BJ24-BK24+BL24</f>
        <v>230166843.28000003</v>
      </c>
      <c r="BN24" s="3">
        <f>BM24/1000</f>
        <v>230166.84328000003</v>
      </c>
      <c r="BP24" s="3">
        <v>189898935.49999997</v>
      </c>
      <c r="BQ24" s="3">
        <v>1021249.99</v>
      </c>
      <c r="BR24" s="3">
        <v>39536046.4</v>
      </c>
      <c r="BS24" s="3">
        <f>BP24-BQ24+BR24</f>
        <v>228413731.90999997</v>
      </c>
      <c r="BT24" s="3">
        <f>BS24/1000</f>
        <v>228413.73190999997</v>
      </c>
    </row>
    <row r="25" spans="1:72" ht="12.75">
      <c r="A25" s="1" t="s">
        <v>17</v>
      </c>
      <c r="B25" s="1">
        <v>18596</v>
      </c>
      <c r="C25" s="1">
        <v>19502</v>
      </c>
      <c r="D25" s="1">
        <v>19762</v>
      </c>
      <c r="E25" s="1">
        <v>20535</v>
      </c>
      <c r="F25" s="1">
        <v>21407</v>
      </c>
      <c r="G25" s="1">
        <v>22004.08974</v>
      </c>
      <c r="H25" s="1">
        <v>25596.48774</v>
      </c>
      <c r="I25" s="1">
        <v>25066.52559</v>
      </c>
      <c r="J25" s="1">
        <v>25791.155010000002</v>
      </c>
      <c r="K25" s="1">
        <v>26031.818909999998</v>
      </c>
      <c r="L25" s="245">
        <f>(K25-J25)*100/J25</f>
        <v>0.9331257165748619</v>
      </c>
      <c r="M25" s="48">
        <f>(K25-AC25)*100/AC25</f>
        <v>48.32945247863247</v>
      </c>
      <c r="N25" s="14">
        <v>7881</v>
      </c>
      <c r="O25" s="14">
        <v>8484</v>
      </c>
      <c r="P25" s="14">
        <v>9559</v>
      </c>
      <c r="Q25" s="27">
        <v>10480</v>
      </c>
      <c r="R25" s="27">
        <v>11627</v>
      </c>
      <c r="S25" s="27">
        <v>12307</v>
      </c>
      <c r="T25" s="27">
        <v>13596</v>
      </c>
      <c r="U25" s="27">
        <v>13777</v>
      </c>
      <c r="V25" s="27">
        <v>14208</v>
      </c>
      <c r="W25" s="27">
        <f>12806.034+1948.174</f>
        <v>14754.207999999999</v>
      </c>
      <c r="X25" s="36">
        <f>13556.578+2060.921</f>
        <v>15617.499</v>
      </c>
      <c r="Y25" s="14">
        <f>14297.529+2084.511</f>
        <v>16382.04</v>
      </c>
      <c r="Z25" s="14">
        <v>17106</v>
      </c>
      <c r="AA25" s="14">
        <v>16408</v>
      </c>
      <c r="AB25" s="1">
        <v>16892</v>
      </c>
      <c r="AC25" s="1">
        <v>17550</v>
      </c>
      <c r="AD25" s="14"/>
      <c r="AE25" s="3">
        <v>17642960</v>
      </c>
      <c r="AF25" s="3">
        <v>0</v>
      </c>
      <c r="AG25" s="3">
        <v>2891607.98</v>
      </c>
      <c r="AH25" s="3">
        <f>AE25-AF25+AG25</f>
        <v>20534567.98</v>
      </c>
      <c r="AI25" s="3">
        <f>AH25/1000</f>
        <v>20534.56798</v>
      </c>
      <c r="AL25" s="3">
        <v>18330957</v>
      </c>
      <c r="AM25" s="3">
        <v>0</v>
      </c>
      <c r="AN25" s="3">
        <v>3076393.53</v>
      </c>
      <c r="AO25" s="3">
        <f>AL25-AM25+AN25</f>
        <v>21407350.53</v>
      </c>
      <c r="AP25" s="3">
        <f>AO25/1000</f>
        <v>21407.35053</v>
      </c>
      <c r="AR25" s="3">
        <v>18790324.009999998</v>
      </c>
      <c r="AS25" s="3">
        <v>0</v>
      </c>
      <c r="AT25" s="3">
        <v>3213765.73</v>
      </c>
      <c r="AU25" s="3">
        <f>AR25-AS25+AT25</f>
        <v>22004089.74</v>
      </c>
      <c r="AV25" s="3">
        <f>AU25/1000</f>
        <v>22004.08974</v>
      </c>
      <c r="AX25" s="3">
        <v>22194779.500000004</v>
      </c>
      <c r="AY25" s="3">
        <v>0</v>
      </c>
      <c r="AZ25" s="3">
        <v>3401708.24</v>
      </c>
      <c r="BA25" s="3">
        <f>AX25-AY25+AZ25</f>
        <v>25596487.740000002</v>
      </c>
      <c r="BB25" s="3">
        <f>BA25/1000</f>
        <v>25596.48774</v>
      </c>
      <c r="BD25" s="3">
        <v>21457295.99</v>
      </c>
      <c r="BE25" s="3">
        <v>0</v>
      </c>
      <c r="BF25" s="3">
        <v>3609229.6</v>
      </c>
      <c r="BG25" s="3">
        <f>BD25-BE25+BF25</f>
        <v>25066525.59</v>
      </c>
      <c r="BH25" s="3">
        <f>BG25/1000</f>
        <v>25066.52559</v>
      </c>
      <c r="BJ25" s="3">
        <v>22148842.810000002</v>
      </c>
      <c r="BK25" s="3">
        <v>0</v>
      </c>
      <c r="BL25" s="3">
        <v>3642312.1999999997</v>
      </c>
      <c r="BM25" s="3">
        <f>BJ25-BK25+BL25</f>
        <v>25791155.01</v>
      </c>
      <c r="BN25" s="3">
        <f>BM25/1000</f>
        <v>25791.155010000002</v>
      </c>
      <c r="BP25" s="3">
        <v>22425896.279999997</v>
      </c>
      <c r="BQ25" s="3">
        <v>0</v>
      </c>
      <c r="BR25" s="3">
        <v>3605922.63</v>
      </c>
      <c r="BS25" s="3">
        <f>BP25-BQ25+BR25</f>
        <v>26031818.909999996</v>
      </c>
      <c r="BT25" s="3">
        <f>BS25/1000</f>
        <v>26031.818909999998</v>
      </c>
    </row>
    <row r="26" spans="1:72" ht="12.75">
      <c r="A26" s="1" t="s">
        <v>18</v>
      </c>
      <c r="B26" s="1">
        <v>133559</v>
      </c>
      <c r="C26" s="1">
        <v>144605</v>
      </c>
      <c r="D26" s="1">
        <v>150447</v>
      </c>
      <c r="E26" s="1">
        <v>152515</v>
      </c>
      <c r="F26" s="1">
        <v>157199</v>
      </c>
      <c r="G26" s="1">
        <v>177164.79252999998</v>
      </c>
      <c r="H26" s="1">
        <v>211414.23218000002</v>
      </c>
      <c r="I26" s="1">
        <v>208616.08169000002</v>
      </c>
      <c r="J26" s="1">
        <v>211238.79566</v>
      </c>
      <c r="K26" s="1">
        <v>211717.49727</v>
      </c>
      <c r="L26" s="245">
        <f>(K26-J26)*100/J26</f>
        <v>0.22661633177008103</v>
      </c>
      <c r="M26" s="48">
        <f>(K26-AC26)*100/AC26</f>
        <v>69.01028767691928</v>
      </c>
      <c r="N26" s="14">
        <v>45061</v>
      </c>
      <c r="O26" s="14">
        <v>49300</v>
      </c>
      <c r="P26" s="14">
        <v>55117</v>
      </c>
      <c r="Q26" s="27">
        <v>60128</v>
      </c>
      <c r="R26" s="27">
        <v>68210</v>
      </c>
      <c r="S26" s="27">
        <v>74920</v>
      </c>
      <c r="T26" s="27">
        <v>82193</v>
      </c>
      <c r="U26" s="27">
        <v>86213</v>
      </c>
      <c r="V26" s="27">
        <v>91283</v>
      </c>
      <c r="W26" s="27">
        <f>86040.623+11643.357</f>
        <v>97683.98000000001</v>
      </c>
      <c r="X26" s="36">
        <f>93150.36+13503.302</f>
        <v>106653.662</v>
      </c>
      <c r="Y26" s="14">
        <f>95981.486+14045.506</f>
        <v>110026.992</v>
      </c>
      <c r="Z26" s="14">
        <v>115854</v>
      </c>
      <c r="AA26" s="14">
        <v>112406</v>
      </c>
      <c r="AB26" s="1">
        <v>117750</v>
      </c>
      <c r="AC26" s="1">
        <v>125269</v>
      </c>
      <c r="AD26" s="14"/>
      <c r="AE26" s="3">
        <v>128406492</v>
      </c>
      <c r="AF26" s="3">
        <v>0</v>
      </c>
      <c r="AG26" s="3">
        <v>24108805</v>
      </c>
      <c r="AH26" s="3">
        <f>AE26-AF26+AG26</f>
        <v>152515297</v>
      </c>
      <c r="AI26" s="3">
        <f>AH26/1000</f>
        <v>152515.297</v>
      </c>
      <c r="AL26" s="3">
        <v>131688444</v>
      </c>
      <c r="AM26" s="3">
        <v>0</v>
      </c>
      <c r="AN26" s="3">
        <v>25510414</v>
      </c>
      <c r="AO26" s="3">
        <f>AL26-AM26+AN26</f>
        <v>157198858</v>
      </c>
      <c r="AP26" s="3">
        <f>AO26/1000</f>
        <v>157198.858</v>
      </c>
      <c r="AR26" s="3">
        <v>147121796.75999996</v>
      </c>
      <c r="AS26" s="3">
        <v>0</v>
      </c>
      <c r="AT26" s="3">
        <v>30042995.770000003</v>
      </c>
      <c r="AU26" s="3">
        <f>AR26-AS26+AT26</f>
        <v>177164792.52999997</v>
      </c>
      <c r="AV26" s="3">
        <f>AU26/1000</f>
        <v>177164.79252999998</v>
      </c>
      <c r="AX26" s="3">
        <v>177649225.46</v>
      </c>
      <c r="AY26" s="3">
        <v>0</v>
      </c>
      <c r="AZ26" s="3">
        <v>33765006.71999999</v>
      </c>
      <c r="BA26" s="3">
        <f>AX26-AY26+AZ26</f>
        <v>211414232.18</v>
      </c>
      <c r="BB26" s="3">
        <f>BA26/1000</f>
        <v>211414.23218000002</v>
      </c>
      <c r="BD26" s="3">
        <v>172403275.18000004</v>
      </c>
      <c r="BE26" s="3">
        <v>0</v>
      </c>
      <c r="BF26" s="3">
        <v>36212806.51</v>
      </c>
      <c r="BG26" s="3">
        <f>BD26-BE26+BF26</f>
        <v>208616081.69000003</v>
      </c>
      <c r="BH26" s="3">
        <f>BG26/1000</f>
        <v>208616.08169000002</v>
      </c>
      <c r="BJ26" s="3">
        <v>173167026.87</v>
      </c>
      <c r="BK26" s="3">
        <v>0</v>
      </c>
      <c r="BL26" s="3">
        <v>38071768.79</v>
      </c>
      <c r="BM26" s="3">
        <f>BJ26-BK26+BL26</f>
        <v>211238795.66</v>
      </c>
      <c r="BN26" s="3">
        <f>BM26/1000</f>
        <v>211238.79566</v>
      </c>
      <c r="BP26" s="3">
        <v>170366511.42999998</v>
      </c>
      <c r="BQ26" s="3">
        <v>0</v>
      </c>
      <c r="BR26" s="3">
        <v>41350985.83999999</v>
      </c>
      <c r="BS26" s="3">
        <f>BP26-BQ26+BR26</f>
        <v>211717497.26999998</v>
      </c>
      <c r="BT26" s="3">
        <f>BS26/1000</f>
        <v>211717.49727</v>
      </c>
    </row>
    <row r="27" spans="1:72" ht="12.75">
      <c r="A27" s="1" t="s">
        <v>19</v>
      </c>
      <c r="B27" s="1">
        <v>189576</v>
      </c>
      <c r="C27" s="1">
        <v>211455</v>
      </c>
      <c r="D27" s="1">
        <v>223137</v>
      </c>
      <c r="E27" s="1">
        <v>244268</v>
      </c>
      <c r="F27" s="1">
        <v>263709</v>
      </c>
      <c r="G27" s="1">
        <v>279590.70275</v>
      </c>
      <c r="H27" s="1">
        <v>314447.38003999996</v>
      </c>
      <c r="I27" s="1">
        <v>334558.57649</v>
      </c>
      <c r="J27" s="1">
        <v>361332.27305</v>
      </c>
      <c r="K27" s="1">
        <v>366679.33162</v>
      </c>
      <c r="L27" s="245">
        <f>(K27-J27)*100/J27</f>
        <v>1.4798175997027767</v>
      </c>
      <c r="M27" s="48">
        <f>(K27-AC27)*100/AC27</f>
        <v>117.95921823898998</v>
      </c>
      <c r="N27" s="14">
        <v>47827</v>
      </c>
      <c r="O27" s="14">
        <v>54271</v>
      </c>
      <c r="P27" s="14">
        <v>61965</v>
      </c>
      <c r="Q27" s="27">
        <v>69055</v>
      </c>
      <c r="R27" s="27">
        <v>79587</v>
      </c>
      <c r="S27" s="27">
        <v>90380</v>
      </c>
      <c r="T27" s="27">
        <v>103828</v>
      </c>
      <c r="U27" s="27">
        <v>104704</v>
      </c>
      <c r="V27" s="27">
        <v>108400</v>
      </c>
      <c r="W27" s="27">
        <f>99012.319+17811.134</f>
        <v>116823.45300000001</v>
      </c>
      <c r="X27" s="36">
        <f>109857.72+19556.499</f>
        <v>129414.219</v>
      </c>
      <c r="Y27" s="14">
        <f>117012.502+20857.108</f>
        <v>137869.61</v>
      </c>
      <c r="Z27" s="14">
        <v>142951</v>
      </c>
      <c r="AA27" s="14">
        <v>139239</v>
      </c>
      <c r="AB27" s="1">
        <v>149092</v>
      </c>
      <c r="AC27" s="1">
        <v>168233</v>
      </c>
      <c r="AD27" s="14"/>
      <c r="AE27" s="3">
        <v>192218687</v>
      </c>
      <c r="AF27" s="3">
        <v>0</v>
      </c>
      <c r="AG27" s="3">
        <v>52049295</v>
      </c>
      <c r="AH27" s="3">
        <f>AE27-AF27+AG27</f>
        <v>244267982</v>
      </c>
      <c r="AI27" s="3">
        <f>AH27/1000</f>
        <v>244267.982</v>
      </c>
      <c r="AL27" s="3">
        <v>205194658</v>
      </c>
      <c r="AM27" s="3">
        <v>0</v>
      </c>
      <c r="AN27" s="3">
        <v>58514583</v>
      </c>
      <c r="AO27" s="3">
        <f>AL27-AM27+AN27</f>
        <v>263709241</v>
      </c>
      <c r="AP27" s="3">
        <f>AO27/1000</f>
        <v>263709.241</v>
      </c>
      <c r="AR27" s="3">
        <v>217772832.10000002</v>
      </c>
      <c r="AS27" s="3">
        <v>0</v>
      </c>
      <c r="AT27" s="3">
        <v>61817870.650000006</v>
      </c>
      <c r="AU27" s="3">
        <f>AR27-AS27+AT27</f>
        <v>279590702.75</v>
      </c>
      <c r="AV27" s="3">
        <f>AU27/1000</f>
        <v>279590.70275</v>
      </c>
      <c r="AX27" s="3">
        <v>246770171.62</v>
      </c>
      <c r="AY27" s="3">
        <v>0</v>
      </c>
      <c r="AZ27" s="3">
        <v>67677208.41999999</v>
      </c>
      <c r="BA27" s="3">
        <f>AX27-AY27+AZ27</f>
        <v>314447380.03999996</v>
      </c>
      <c r="BB27" s="3">
        <f>BA27/1000</f>
        <v>314447.38003999996</v>
      </c>
      <c r="BD27" s="3">
        <v>260500557.33</v>
      </c>
      <c r="BE27" s="3">
        <v>0</v>
      </c>
      <c r="BF27" s="3">
        <v>74058019.16000001</v>
      </c>
      <c r="BG27" s="3">
        <f>BD27-BE27+BF27</f>
        <v>334558576.49</v>
      </c>
      <c r="BH27" s="3">
        <f>BG27/1000</f>
        <v>334558.57649</v>
      </c>
      <c r="BJ27" s="3">
        <v>280401238.7</v>
      </c>
      <c r="BK27" s="3">
        <v>0</v>
      </c>
      <c r="BL27" s="3">
        <v>80931034.35000001</v>
      </c>
      <c r="BM27" s="3">
        <f>BJ27-BK27+BL27</f>
        <v>361332273.05</v>
      </c>
      <c r="BN27" s="3">
        <f>BM27/1000</f>
        <v>361332.27305</v>
      </c>
      <c r="BP27" s="3">
        <v>284767556.82</v>
      </c>
      <c r="BQ27" s="3">
        <v>0</v>
      </c>
      <c r="BR27" s="3">
        <v>81911774.8</v>
      </c>
      <c r="BS27" s="3">
        <f>BP27-BQ27+BR27</f>
        <v>366679331.62</v>
      </c>
      <c r="BT27" s="3">
        <f>BS27/1000</f>
        <v>366679.33162</v>
      </c>
    </row>
    <row r="28" spans="1:72" ht="12.75">
      <c r="A28" s="1" t="s">
        <v>20</v>
      </c>
      <c r="B28" s="1">
        <v>11227</v>
      </c>
      <c r="C28" s="1">
        <v>12259</v>
      </c>
      <c r="D28" s="1">
        <v>12638</v>
      </c>
      <c r="E28" s="1">
        <v>11844</v>
      </c>
      <c r="F28" s="1">
        <v>12111</v>
      </c>
      <c r="G28" s="1">
        <v>12520.08673</v>
      </c>
      <c r="H28" s="1">
        <v>14115.307029999998</v>
      </c>
      <c r="I28" s="1">
        <v>12659.501219999998</v>
      </c>
      <c r="J28" s="1">
        <v>13990.640580000001</v>
      </c>
      <c r="K28" s="1">
        <v>13963.543099999997</v>
      </c>
      <c r="L28" s="245">
        <f>(K28-J28)*100/J28</f>
        <v>-0.19368291140822086</v>
      </c>
      <c r="M28" s="48">
        <f>(K28-AC28)*100/AC28</f>
        <v>34.57539610639935</v>
      </c>
      <c r="N28" s="14">
        <v>4153</v>
      </c>
      <c r="O28" s="14">
        <v>4534</v>
      </c>
      <c r="P28" s="27">
        <v>4944</v>
      </c>
      <c r="Q28" s="27">
        <v>5352</v>
      </c>
      <c r="R28" s="27">
        <v>6142</v>
      </c>
      <c r="S28" s="27">
        <v>6909</v>
      </c>
      <c r="T28" s="27">
        <v>7715</v>
      </c>
      <c r="U28" s="27">
        <v>7667</v>
      </c>
      <c r="V28" s="27">
        <v>7875</v>
      </c>
      <c r="W28" s="27">
        <f>7381.345+1009.954</f>
        <v>8391.299</v>
      </c>
      <c r="X28" s="36">
        <f>7990.039+1120.255</f>
        <v>9110.294</v>
      </c>
      <c r="Y28" s="14">
        <f>8223.017+1162.278</f>
        <v>9385.295</v>
      </c>
      <c r="Z28" s="14">
        <v>9961</v>
      </c>
      <c r="AA28" s="14">
        <v>10610</v>
      </c>
      <c r="AB28" s="1">
        <v>9911</v>
      </c>
      <c r="AC28" s="1">
        <v>10376</v>
      </c>
      <c r="AD28" s="14"/>
      <c r="AE28" s="3">
        <v>10115623</v>
      </c>
      <c r="AF28" s="3">
        <v>122967.45</v>
      </c>
      <c r="AG28" s="3">
        <v>1850899.52</v>
      </c>
      <c r="AH28" s="3">
        <f>AE28-AF28+AG28</f>
        <v>11843555.07</v>
      </c>
      <c r="AI28" s="3">
        <f>AH28/1000</f>
        <v>11843.55507</v>
      </c>
      <c r="AL28" s="3">
        <v>10154883</v>
      </c>
      <c r="AM28" s="3">
        <v>112143.44</v>
      </c>
      <c r="AN28" s="3">
        <v>2067967.72</v>
      </c>
      <c r="AO28" s="3">
        <f>AL28-AM28+AN28</f>
        <v>12110707.280000001</v>
      </c>
      <c r="AP28" s="3">
        <f>AO28/1000</f>
        <v>12110.70728</v>
      </c>
      <c r="AR28" s="3">
        <v>10432645.85</v>
      </c>
      <c r="AS28" s="3">
        <v>142778.99</v>
      </c>
      <c r="AT28" s="3">
        <v>2230219.87</v>
      </c>
      <c r="AU28" s="3">
        <f>AR28-AS28+AT28</f>
        <v>12520086.73</v>
      </c>
      <c r="AV28" s="3">
        <f>AU28/1000</f>
        <v>12520.08673</v>
      </c>
      <c r="AX28" s="3">
        <v>12131195.269999998</v>
      </c>
      <c r="AY28" s="3">
        <v>179781.15</v>
      </c>
      <c r="AZ28" s="3">
        <v>2163892.91</v>
      </c>
      <c r="BA28" s="3">
        <f>AX28-AY28+AZ28</f>
        <v>14115307.029999997</v>
      </c>
      <c r="BB28" s="3">
        <f>BA28/1000</f>
        <v>14115.307029999998</v>
      </c>
      <c r="BD28" s="3">
        <v>10486839.95</v>
      </c>
      <c r="BE28" s="3">
        <v>305789.07</v>
      </c>
      <c r="BF28" s="3">
        <v>2478450.34</v>
      </c>
      <c r="BG28" s="3">
        <f>BD28-BE28+BF28</f>
        <v>12659501.219999999</v>
      </c>
      <c r="BH28" s="3">
        <f>BG28/1000</f>
        <v>12659.501219999998</v>
      </c>
      <c r="BJ28" s="3">
        <v>11511373.32</v>
      </c>
      <c r="BK28" s="3">
        <v>21736.53</v>
      </c>
      <c r="BL28" s="3">
        <v>2501003.79</v>
      </c>
      <c r="BM28" s="3">
        <f>BJ28-BK28+BL28</f>
        <v>13990640.580000002</v>
      </c>
      <c r="BN28" s="3">
        <f>BM28/1000</f>
        <v>13990.640580000001</v>
      </c>
      <c r="BP28" s="3">
        <v>11352488.249999998</v>
      </c>
      <c r="BQ28" s="3">
        <v>0</v>
      </c>
      <c r="BR28" s="3">
        <v>2611054.8499999996</v>
      </c>
      <c r="BS28" s="3">
        <f>BP28-BQ28+BR28</f>
        <v>13963543.099999998</v>
      </c>
      <c r="BT28" s="3">
        <f>BS28/1000</f>
        <v>13963.543099999997</v>
      </c>
    </row>
    <row r="29" spans="12:30" ht="12.75">
      <c r="L29" s="48"/>
      <c r="M29" s="48"/>
      <c r="N29" s="14"/>
      <c r="O29" s="14"/>
      <c r="Q29" s="27"/>
      <c r="R29" s="27"/>
      <c r="S29" s="27"/>
      <c r="T29" s="27"/>
      <c r="U29" s="27"/>
      <c r="V29" s="27"/>
      <c r="W29" s="27"/>
      <c r="X29" s="36"/>
      <c r="Y29" s="14"/>
      <c r="Z29" s="14"/>
      <c r="AA29" s="14"/>
      <c r="AB29" s="1"/>
      <c r="AC29" s="1"/>
      <c r="AD29" s="14"/>
    </row>
    <row r="30" spans="1:72" ht="12.75">
      <c r="A30" s="1" t="s">
        <v>21</v>
      </c>
      <c r="B30" s="1">
        <v>656718</v>
      </c>
      <c r="C30" s="1">
        <v>720451</v>
      </c>
      <c r="D30" s="1">
        <v>771970</v>
      </c>
      <c r="E30" s="1">
        <v>798730</v>
      </c>
      <c r="F30" s="1">
        <v>842267</v>
      </c>
      <c r="G30" s="1">
        <v>888140.2725899996</v>
      </c>
      <c r="H30" s="1">
        <v>1000412.6133499999</v>
      </c>
      <c r="I30" s="1">
        <v>1002667.4720900003</v>
      </c>
      <c r="J30" s="1">
        <v>1051067.85488</v>
      </c>
      <c r="K30" s="1">
        <v>1077900.7814099998</v>
      </c>
      <c r="L30" s="245">
        <f>(K30-J30)*100/J30</f>
        <v>2.5529204803873795</v>
      </c>
      <c r="M30" s="48">
        <f>(K30-AC30)*100/AC30</f>
        <v>83.58184133696668</v>
      </c>
      <c r="N30" s="14">
        <v>235359</v>
      </c>
      <c r="O30" s="14">
        <v>260765</v>
      </c>
      <c r="P30" s="27">
        <v>284750</v>
      </c>
      <c r="Q30" s="27">
        <v>316287</v>
      </c>
      <c r="R30" s="27">
        <v>350270</v>
      </c>
      <c r="S30" s="27">
        <v>394235</v>
      </c>
      <c r="T30" s="27">
        <v>430009</v>
      </c>
      <c r="U30" s="27">
        <v>436943</v>
      </c>
      <c r="V30" s="27">
        <v>447330</v>
      </c>
      <c r="W30" s="27">
        <f>396395.489+67281.325</f>
        <v>463676.814</v>
      </c>
      <c r="X30" s="36">
        <f>417945.929+71445.171</f>
        <v>489391.1</v>
      </c>
      <c r="Y30" s="14">
        <f>437403.757+74904.608</f>
        <v>512308.365</v>
      </c>
      <c r="Z30" s="14">
        <v>532592</v>
      </c>
      <c r="AA30" s="14">
        <v>507831</v>
      </c>
      <c r="AB30" s="1">
        <v>543534</v>
      </c>
      <c r="AC30" s="1">
        <v>587150</v>
      </c>
      <c r="AD30" s="14"/>
      <c r="AE30" s="3">
        <v>656624875</v>
      </c>
      <c r="AF30" s="3">
        <v>2712515.46</v>
      </c>
      <c r="AG30" s="3">
        <v>144817929</v>
      </c>
      <c r="AH30" s="3">
        <f>AE30-AF30+AG30</f>
        <v>798730288.54</v>
      </c>
      <c r="AI30" s="3">
        <f>AH30/1000</f>
        <v>798730.28854</v>
      </c>
      <c r="AL30" s="3">
        <v>687788361</v>
      </c>
      <c r="AM30" s="3">
        <v>1520940.68</v>
      </c>
      <c r="AN30" s="3">
        <v>155999135</v>
      </c>
      <c r="AO30" s="3">
        <f>AL30-AM30+AN30</f>
        <v>842266555.32</v>
      </c>
      <c r="AP30" s="3">
        <f>AO30/1000</f>
        <v>842266.55532</v>
      </c>
      <c r="AR30" s="3">
        <v>720588725.3799996</v>
      </c>
      <c r="AS30" s="3">
        <v>646429.82</v>
      </c>
      <c r="AT30" s="3">
        <v>168197977.03</v>
      </c>
      <c r="AU30" s="3">
        <f>AR30-AS30+AT30</f>
        <v>888140272.5899996</v>
      </c>
      <c r="AV30" s="3">
        <f>AU30/1000</f>
        <v>888140.2725899996</v>
      </c>
      <c r="AX30" s="3">
        <v>816133160.27</v>
      </c>
      <c r="AY30" s="3">
        <v>0</v>
      </c>
      <c r="AZ30" s="3">
        <v>184279453.07999998</v>
      </c>
      <c r="BA30" s="3">
        <f>AX30-AY30+AZ30</f>
        <v>1000412613.3499999</v>
      </c>
      <c r="BB30" s="3">
        <f>BA30/1000</f>
        <v>1000412.6133499999</v>
      </c>
      <c r="BD30" s="3">
        <v>802164887.6200001</v>
      </c>
      <c r="BE30" s="3">
        <v>0</v>
      </c>
      <c r="BF30" s="3">
        <v>200502584.47000018</v>
      </c>
      <c r="BG30" s="3">
        <f>BD30-BE30+BF30</f>
        <v>1002667472.0900003</v>
      </c>
      <c r="BH30" s="3">
        <f>BG30/1000</f>
        <v>1002667.4720900003</v>
      </c>
      <c r="BJ30" s="3">
        <v>835956505.2600001</v>
      </c>
      <c r="BK30" s="3">
        <v>0</v>
      </c>
      <c r="BL30" s="3">
        <v>215111349.62</v>
      </c>
      <c r="BM30" s="3">
        <f>BJ30-BK30+BL30</f>
        <v>1051067854.8800001</v>
      </c>
      <c r="BN30" s="3">
        <f>BM30/1000</f>
        <v>1051067.85488</v>
      </c>
      <c r="BP30" s="3">
        <v>849424757.3499999</v>
      </c>
      <c r="BQ30" s="3">
        <v>0</v>
      </c>
      <c r="BR30" s="3">
        <v>228476024.05999997</v>
      </c>
      <c r="BS30" s="3">
        <f>BP30-BQ30+BR30</f>
        <v>1077900781.4099998</v>
      </c>
      <c r="BT30" s="3">
        <f>BS30/1000</f>
        <v>1077900.7814099998</v>
      </c>
    </row>
    <row r="31" spans="1:72" ht="12.75">
      <c r="A31" s="1" t="s">
        <v>22</v>
      </c>
      <c r="B31" s="1">
        <v>472737</v>
      </c>
      <c r="C31" s="1">
        <v>518718</v>
      </c>
      <c r="D31" s="1">
        <v>552351</v>
      </c>
      <c r="E31" s="1">
        <v>542082</v>
      </c>
      <c r="F31" s="1">
        <v>557697</v>
      </c>
      <c r="G31" s="1">
        <v>596564.5183199999</v>
      </c>
      <c r="H31" s="1">
        <v>736931.1419200001</v>
      </c>
      <c r="I31" s="1">
        <v>764518.3821499998</v>
      </c>
      <c r="J31" s="1">
        <v>775534.55227</v>
      </c>
      <c r="K31" s="1">
        <v>769202.90905</v>
      </c>
      <c r="L31" s="245">
        <f>(K31-J31)*100/J31</f>
        <v>-0.8164230982961578</v>
      </c>
      <c r="M31" s="48">
        <f>(K31-AC31)*100/AC31</f>
        <v>76.83923118216534</v>
      </c>
      <c r="N31" s="14">
        <v>191074</v>
      </c>
      <c r="O31" s="14">
        <v>205318</v>
      </c>
      <c r="P31" s="27">
        <v>227438</v>
      </c>
      <c r="Q31" s="27">
        <v>252565</v>
      </c>
      <c r="R31" s="27">
        <v>275612</v>
      </c>
      <c r="S31" s="27">
        <v>295145</v>
      </c>
      <c r="T31" s="27">
        <v>317938</v>
      </c>
      <c r="U31" s="27">
        <v>313362</v>
      </c>
      <c r="V31" s="27">
        <v>333054</v>
      </c>
      <c r="W31" s="27">
        <f>292032.151+59034.523</f>
        <v>351066.674</v>
      </c>
      <c r="X31" s="36">
        <f>312382.895+63995.284</f>
        <v>376378.179</v>
      </c>
      <c r="Y31" s="14">
        <f>321711.276+66433.306</f>
        <v>388144.582</v>
      </c>
      <c r="Z31" s="14">
        <v>401175</v>
      </c>
      <c r="AA31" s="14">
        <v>387009</v>
      </c>
      <c r="AB31" s="1">
        <v>416633</v>
      </c>
      <c r="AC31" s="1">
        <v>434973</v>
      </c>
      <c r="AD31" s="14"/>
      <c r="AE31" s="3">
        <v>440503691</v>
      </c>
      <c r="AF31" s="3">
        <v>811598.78</v>
      </c>
      <c r="AG31" s="3">
        <v>102390223</v>
      </c>
      <c r="AH31" s="3">
        <f>AE31-AF31+AG31</f>
        <v>542082315.22</v>
      </c>
      <c r="AI31" s="3">
        <f>AH31/1000</f>
        <v>542082.31522</v>
      </c>
      <c r="AL31" s="3">
        <v>451467136</v>
      </c>
      <c r="AM31" s="3">
        <v>796592.58</v>
      </c>
      <c r="AN31" s="3">
        <v>107026791</v>
      </c>
      <c r="AO31" s="3">
        <f>AL31-AM31+AN31</f>
        <v>557697334.4200001</v>
      </c>
      <c r="AP31" s="3">
        <f>AO31/1000</f>
        <v>557697.3344200001</v>
      </c>
      <c r="AR31" s="3">
        <v>480437709.31999993</v>
      </c>
      <c r="AS31" s="3">
        <v>1174698.57</v>
      </c>
      <c r="AT31" s="3">
        <v>117301507.57</v>
      </c>
      <c r="AU31" s="3">
        <f>AR31-AS31+AT31</f>
        <v>596564518.3199999</v>
      </c>
      <c r="AV31" s="3">
        <f>AU31/1000</f>
        <v>596564.5183199999</v>
      </c>
      <c r="AX31" s="3">
        <v>595629543.9600002</v>
      </c>
      <c r="AY31" s="3">
        <v>557175.46</v>
      </c>
      <c r="AZ31" s="3">
        <v>141858773.42000002</v>
      </c>
      <c r="BA31" s="3">
        <f>AX31-AY31+AZ31</f>
        <v>736931141.9200001</v>
      </c>
      <c r="BB31" s="3">
        <f>BA31/1000</f>
        <v>736931.1419200001</v>
      </c>
      <c r="BD31" s="3">
        <v>597607802.4199998</v>
      </c>
      <c r="BE31" s="3">
        <v>2816</v>
      </c>
      <c r="BF31" s="3">
        <v>166913395.73000002</v>
      </c>
      <c r="BG31" s="3">
        <f>BD31-BE31+BF31</f>
        <v>764518382.1499999</v>
      </c>
      <c r="BH31" s="3">
        <f>BG31/1000</f>
        <v>764518.3821499998</v>
      </c>
      <c r="BJ31" s="3">
        <v>601513865.98</v>
      </c>
      <c r="BK31" s="3">
        <v>0</v>
      </c>
      <c r="BL31" s="3">
        <v>174020686.29000002</v>
      </c>
      <c r="BM31" s="3">
        <f>BJ31-BK31+BL31</f>
        <v>775534552.27</v>
      </c>
      <c r="BN31" s="3">
        <f>BM31/1000</f>
        <v>775534.55227</v>
      </c>
      <c r="BP31" s="3">
        <v>594525345.32</v>
      </c>
      <c r="BQ31" s="3">
        <v>0</v>
      </c>
      <c r="BR31" s="3">
        <v>174677563.73</v>
      </c>
      <c r="BS31" s="3">
        <f>BP31-BQ31+BR31</f>
        <v>769202909.0500001</v>
      </c>
      <c r="BT31" s="3">
        <f>BS31/1000</f>
        <v>769202.90905</v>
      </c>
    </row>
    <row r="32" spans="1:72" ht="12.75">
      <c r="A32" s="1" t="s">
        <v>23</v>
      </c>
      <c r="B32" s="1">
        <v>25355</v>
      </c>
      <c r="C32" s="1">
        <v>27906</v>
      </c>
      <c r="D32" s="1">
        <v>29295</v>
      </c>
      <c r="E32" s="1">
        <v>30569</v>
      </c>
      <c r="F32" s="1">
        <v>32081</v>
      </c>
      <c r="G32" s="1">
        <v>34181.58531</v>
      </c>
      <c r="H32" s="1">
        <v>38353.52032</v>
      </c>
      <c r="I32" s="1">
        <v>38773.422029999994</v>
      </c>
      <c r="J32" s="1">
        <v>40866.599039999994</v>
      </c>
      <c r="K32" s="1">
        <v>43005.101310000005</v>
      </c>
      <c r="L32" s="245">
        <f>(K32-J32)*100/J32</f>
        <v>5.232885339704579</v>
      </c>
      <c r="M32" s="48">
        <f>(K32-AC32)*100/AC32</f>
        <v>85.91976702261037</v>
      </c>
      <c r="N32" s="14">
        <v>7331</v>
      </c>
      <c r="O32" s="14">
        <v>8689</v>
      </c>
      <c r="P32" s="27">
        <v>10505</v>
      </c>
      <c r="Q32" s="27">
        <v>11268</v>
      </c>
      <c r="R32" s="27">
        <v>12002</v>
      </c>
      <c r="S32" s="27">
        <v>13396</v>
      </c>
      <c r="T32" s="27">
        <v>14609</v>
      </c>
      <c r="U32" s="27">
        <v>15086</v>
      </c>
      <c r="V32" s="27">
        <v>15593</v>
      </c>
      <c r="W32" s="27">
        <f>14842.918+1986.592</f>
        <v>16829.51</v>
      </c>
      <c r="X32" s="36">
        <f>15478.858+2097.141</f>
        <v>17575.999</v>
      </c>
      <c r="Y32" s="14">
        <f>15913.44+2214.387</f>
        <v>18127.827</v>
      </c>
      <c r="Z32" s="14">
        <v>19445</v>
      </c>
      <c r="AA32" s="14">
        <v>19067</v>
      </c>
      <c r="AB32" s="1">
        <v>21097</v>
      </c>
      <c r="AC32" s="1">
        <v>23131</v>
      </c>
      <c r="AD32" s="14"/>
      <c r="AE32" s="3">
        <v>25626527</v>
      </c>
      <c r="AF32" s="3">
        <v>101865.58</v>
      </c>
      <c r="AG32" s="3">
        <v>5044647.75</v>
      </c>
      <c r="AH32" s="3">
        <f>AE32-AF32+AG32</f>
        <v>30569309.17</v>
      </c>
      <c r="AI32" s="3">
        <f>AH32/1000</f>
        <v>30569.30917</v>
      </c>
      <c r="AL32" s="3">
        <v>26844096</v>
      </c>
      <c r="AM32" s="3">
        <v>147751.38</v>
      </c>
      <c r="AN32" s="3">
        <v>5384538</v>
      </c>
      <c r="AO32" s="3">
        <f>AL32-AM32+AN32</f>
        <v>32080882.62</v>
      </c>
      <c r="AP32" s="3">
        <f>AO32/1000</f>
        <v>32080.88262</v>
      </c>
      <c r="AR32" s="3">
        <v>28708941.160000004</v>
      </c>
      <c r="AS32" s="3">
        <v>181069.22</v>
      </c>
      <c r="AT32" s="3">
        <v>5653713.369999999</v>
      </c>
      <c r="AU32" s="3">
        <f>AR32-AS32+AT32</f>
        <v>34181585.31</v>
      </c>
      <c r="AV32" s="3">
        <f>AU32/1000</f>
        <v>34181.58531</v>
      </c>
      <c r="AX32" s="3">
        <v>32719037.71</v>
      </c>
      <c r="AY32" s="3">
        <v>101556.76</v>
      </c>
      <c r="AZ32" s="3">
        <v>5736039.37</v>
      </c>
      <c r="BA32" s="3">
        <f>AX32-AY32+AZ32</f>
        <v>38353520.32</v>
      </c>
      <c r="BB32" s="3">
        <f>BA32/1000</f>
        <v>38353.52032</v>
      </c>
      <c r="BD32" s="3">
        <v>32463442.569999997</v>
      </c>
      <c r="BE32" s="3">
        <v>153741.01</v>
      </c>
      <c r="BF32" s="3">
        <v>6463720.47</v>
      </c>
      <c r="BG32" s="3">
        <f>BD32-BE32+BF32</f>
        <v>38773422.029999994</v>
      </c>
      <c r="BH32" s="3">
        <f>BG32/1000</f>
        <v>38773.422029999994</v>
      </c>
      <c r="BJ32" s="3">
        <v>34255470.45999999</v>
      </c>
      <c r="BK32" s="3">
        <v>171788.13</v>
      </c>
      <c r="BL32" s="3">
        <v>6782916.709999999</v>
      </c>
      <c r="BM32" s="3">
        <f>BJ32-BK32+BL32</f>
        <v>40866599.03999999</v>
      </c>
      <c r="BN32" s="3">
        <f>BM32/1000</f>
        <v>40866.599039999994</v>
      </c>
      <c r="BP32" s="3">
        <v>35576401.46</v>
      </c>
      <c r="BQ32" s="3">
        <v>159653.21</v>
      </c>
      <c r="BR32" s="3">
        <v>7588353.0600000005</v>
      </c>
      <c r="BS32" s="3">
        <f>BP32-BQ32+BR32</f>
        <v>43005101.31</v>
      </c>
      <c r="BT32" s="3">
        <f>BS32/1000</f>
        <v>43005.101310000005</v>
      </c>
    </row>
    <row r="33" spans="1:72" ht="12.75">
      <c r="A33" s="1" t="s">
        <v>24</v>
      </c>
      <c r="B33" s="1">
        <v>52330</v>
      </c>
      <c r="C33" s="1">
        <v>57131</v>
      </c>
      <c r="D33" s="1">
        <v>60341</v>
      </c>
      <c r="E33" s="1">
        <v>63119</v>
      </c>
      <c r="F33" s="1">
        <v>66859</v>
      </c>
      <c r="G33" s="1">
        <v>71407.97784</v>
      </c>
      <c r="H33" s="1">
        <v>81252.37246000001</v>
      </c>
      <c r="I33" s="1">
        <v>81335.50024</v>
      </c>
      <c r="J33" s="1">
        <v>86017.79883999999</v>
      </c>
      <c r="K33" s="1">
        <v>89742.40818000001</v>
      </c>
      <c r="L33" s="245">
        <f>(K33-J33)*100/J33</f>
        <v>4.3300449328261665</v>
      </c>
      <c r="M33" s="48">
        <f>(K33-AC33)*100/AC33</f>
        <v>85.53703442287419</v>
      </c>
      <c r="N33" s="14">
        <v>18245</v>
      </c>
      <c r="O33" s="14">
        <v>19731</v>
      </c>
      <c r="P33" s="27">
        <v>22527</v>
      </c>
      <c r="Q33" s="27">
        <v>24732</v>
      </c>
      <c r="R33" s="27">
        <v>26935</v>
      </c>
      <c r="S33" s="27">
        <v>29839</v>
      </c>
      <c r="T33" s="27">
        <v>33131</v>
      </c>
      <c r="U33" s="27">
        <v>36412</v>
      </c>
      <c r="V33" s="27">
        <v>37284</v>
      </c>
      <c r="W33" s="27">
        <f>31976.109+5634.756</f>
        <v>37610.865</v>
      </c>
      <c r="X33" s="36">
        <f>34429.461+6055.81</f>
        <v>40485.271</v>
      </c>
      <c r="Y33" s="14">
        <f>35240.813+6343.693</f>
        <v>41584.506</v>
      </c>
      <c r="Z33" s="14">
        <v>44689</v>
      </c>
      <c r="AA33" s="14">
        <v>42861</v>
      </c>
      <c r="AB33" s="1">
        <v>45851</v>
      </c>
      <c r="AC33" s="1">
        <v>48369</v>
      </c>
      <c r="AD33" s="14"/>
      <c r="AE33" s="3">
        <v>51175586</v>
      </c>
      <c r="AF33" s="3">
        <v>183473.35</v>
      </c>
      <c r="AG33" s="3">
        <v>12126909</v>
      </c>
      <c r="AH33" s="3">
        <f>AE33-AF33+AG33</f>
        <v>63119021.65</v>
      </c>
      <c r="AI33" s="3">
        <f>AH33/1000</f>
        <v>63119.021649999995</v>
      </c>
      <c r="AL33" s="3">
        <v>53729157</v>
      </c>
      <c r="AM33" s="3">
        <v>188791.85</v>
      </c>
      <c r="AN33" s="3">
        <v>13319095</v>
      </c>
      <c r="AO33" s="3">
        <f>AL33-AM33+AN33</f>
        <v>66859460.15</v>
      </c>
      <c r="AP33" s="3">
        <f>AO33/1000</f>
        <v>66859.46015</v>
      </c>
      <c r="AR33" s="3">
        <v>57627906.82000001</v>
      </c>
      <c r="AS33" s="3">
        <v>239265.5</v>
      </c>
      <c r="AT33" s="3">
        <v>14019336.520000001</v>
      </c>
      <c r="AU33" s="3">
        <f>AR33-AS33+AT33</f>
        <v>71407977.84</v>
      </c>
      <c r="AV33" s="3">
        <f>AU33/1000</f>
        <v>71407.97784</v>
      </c>
      <c r="AX33" s="3">
        <v>66742469.59</v>
      </c>
      <c r="AY33" s="3">
        <v>352825.12</v>
      </c>
      <c r="AZ33" s="3">
        <v>14862727.99</v>
      </c>
      <c r="BA33" s="3">
        <f>AX33-AY33+AZ33</f>
        <v>81252372.46000001</v>
      </c>
      <c r="BB33" s="3">
        <f>BA33/1000</f>
        <v>81252.37246000001</v>
      </c>
      <c r="BD33" s="3">
        <v>66182925.81</v>
      </c>
      <c r="BE33" s="3">
        <v>272461.45</v>
      </c>
      <c r="BF33" s="3">
        <v>15425035.879999999</v>
      </c>
      <c r="BG33" s="3">
        <f>BD33-BE33+BF33</f>
        <v>81335500.24</v>
      </c>
      <c r="BH33" s="3">
        <f>BG33/1000</f>
        <v>81335.50024</v>
      </c>
      <c r="BJ33" s="3">
        <v>70122502.17999999</v>
      </c>
      <c r="BK33" s="3">
        <v>290907.64</v>
      </c>
      <c r="BL33" s="3">
        <v>16186204.3</v>
      </c>
      <c r="BM33" s="3">
        <f>BJ33-BK33+BL33</f>
        <v>86017798.83999999</v>
      </c>
      <c r="BN33" s="3">
        <f>BM33/1000</f>
        <v>86017.79883999999</v>
      </c>
      <c r="BP33" s="3">
        <v>73208015.12</v>
      </c>
      <c r="BQ33" s="3">
        <v>248172.9</v>
      </c>
      <c r="BR33" s="3">
        <v>16782565.96</v>
      </c>
      <c r="BS33" s="3">
        <f>BP33-BQ33+BR33</f>
        <v>89742408.18</v>
      </c>
      <c r="BT33" s="3">
        <f>BS33/1000</f>
        <v>89742.40818000001</v>
      </c>
    </row>
    <row r="34" spans="1:72" ht="12.75">
      <c r="A34" s="1" t="s">
        <v>25</v>
      </c>
      <c r="B34" s="1">
        <v>11980</v>
      </c>
      <c r="C34" s="1">
        <v>12437</v>
      </c>
      <c r="D34" s="1">
        <v>12808</v>
      </c>
      <c r="E34" s="1">
        <v>13118</v>
      </c>
      <c r="F34" s="1">
        <v>13595</v>
      </c>
      <c r="G34" s="1">
        <v>14591.17688</v>
      </c>
      <c r="H34" s="1">
        <v>19073.772310000004</v>
      </c>
      <c r="I34" s="1">
        <v>18177.159379999997</v>
      </c>
      <c r="J34" s="1">
        <v>18256.41353</v>
      </c>
      <c r="K34" s="1">
        <v>18478.84862</v>
      </c>
      <c r="L34" s="245">
        <f>(K34-J34)*100/J34</f>
        <v>1.2183942351792194</v>
      </c>
      <c r="M34" s="48">
        <f>(K34-AC34)*100/AC34</f>
        <v>64.44645919729466</v>
      </c>
      <c r="N34" s="14">
        <v>4871</v>
      </c>
      <c r="O34" s="14">
        <v>5279</v>
      </c>
      <c r="P34" s="27">
        <v>6036</v>
      </c>
      <c r="Q34" s="27">
        <v>6424</v>
      </c>
      <c r="R34" s="27">
        <v>7107</v>
      </c>
      <c r="S34" s="27">
        <v>7881</v>
      </c>
      <c r="T34" s="27">
        <v>8715</v>
      </c>
      <c r="U34" s="27">
        <v>8623</v>
      </c>
      <c r="V34" s="27">
        <v>9201</v>
      </c>
      <c r="W34" s="27">
        <f>8848.369+1268.194</f>
        <v>10116.563</v>
      </c>
      <c r="X34" s="36">
        <f>9325.718+1252.871</f>
        <v>10578.589</v>
      </c>
      <c r="Y34" s="14">
        <f>9431.212+1307.136</f>
        <v>10738.348</v>
      </c>
      <c r="Z34" s="14">
        <v>10842</v>
      </c>
      <c r="AA34" s="14">
        <v>10097</v>
      </c>
      <c r="AB34" s="1">
        <v>10366</v>
      </c>
      <c r="AC34" s="1">
        <v>11237</v>
      </c>
      <c r="AD34" s="14"/>
      <c r="AE34" s="3">
        <v>11177046</v>
      </c>
      <c r="AF34" s="3">
        <v>125602.71</v>
      </c>
      <c r="AG34" s="3">
        <v>2066623.64</v>
      </c>
      <c r="AH34" s="3">
        <f>AE34-AF34+AG34</f>
        <v>13118066.93</v>
      </c>
      <c r="AI34" s="3">
        <f>AH34/1000</f>
        <v>13118.066929999999</v>
      </c>
      <c r="AL34" s="3">
        <v>11559491</v>
      </c>
      <c r="AM34" s="3">
        <v>62545.01</v>
      </c>
      <c r="AN34" s="3">
        <v>2097608.31</v>
      </c>
      <c r="AO34" s="3">
        <f>AL34-AM34+AN34</f>
        <v>13594554.3</v>
      </c>
      <c r="AP34" s="3">
        <f>AO34/1000</f>
        <v>13594.554300000002</v>
      </c>
      <c r="AR34" s="3">
        <v>12574071.270000001</v>
      </c>
      <c r="AS34" s="3">
        <v>137859.16</v>
      </c>
      <c r="AT34" s="3">
        <v>2154964.77</v>
      </c>
      <c r="AU34" s="3">
        <f>AR34-AS34+AT34</f>
        <v>14591176.88</v>
      </c>
      <c r="AV34" s="3">
        <f>AU34/1000</f>
        <v>14591.17688</v>
      </c>
      <c r="AX34" s="3">
        <v>16813488.810000002</v>
      </c>
      <c r="AY34" s="3">
        <v>157309.98</v>
      </c>
      <c r="AZ34" s="3">
        <v>2417593.48</v>
      </c>
      <c r="BA34" s="3">
        <f>AX34-AY34+AZ34</f>
        <v>19073772.310000002</v>
      </c>
      <c r="BB34" s="3">
        <f>BA34/1000</f>
        <v>19073.772310000004</v>
      </c>
      <c r="BD34" s="3">
        <v>15498743.71</v>
      </c>
      <c r="BE34" s="3">
        <v>174791.88</v>
      </c>
      <c r="BF34" s="3">
        <v>2853207.55</v>
      </c>
      <c r="BG34" s="3">
        <f>BD34-BE34+BF34</f>
        <v>18177159.38</v>
      </c>
      <c r="BH34" s="3">
        <f>BG34/1000</f>
        <v>18177.159379999997</v>
      </c>
      <c r="BJ34" s="3">
        <v>15466459.170000002</v>
      </c>
      <c r="BK34" s="3">
        <v>182332.6</v>
      </c>
      <c r="BL34" s="3">
        <v>2972286.96</v>
      </c>
      <c r="BM34" s="3">
        <f>BJ34-BK34+BL34</f>
        <v>18256413.53</v>
      </c>
      <c r="BN34" s="3">
        <f>BM34/1000</f>
        <v>18256.41353</v>
      </c>
      <c r="BP34" s="3">
        <v>15515337.88</v>
      </c>
      <c r="BQ34" s="3">
        <v>206975.44</v>
      </c>
      <c r="BR34" s="3">
        <v>3170486.18</v>
      </c>
      <c r="BS34" s="3">
        <f>BP34-BQ34+BR34</f>
        <v>18478848.62</v>
      </c>
      <c r="BT34" s="3">
        <f>BS34/1000</f>
        <v>18478.84862</v>
      </c>
    </row>
    <row r="35" spans="12:30" ht="12.75">
      <c r="L35" s="48"/>
      <c r="M35" s="48"/>
      <c r="O35" s="14"/>
      <c r="P35" s="27"/>
      <c r="Q35" s="27"/>
      <c r="R35" s="27"/>
      <c r="S35" s="27"/>
      <c r="T35" s="27"/>
      <c r="U35" s="27"/>
      <c r="V35" s="27"/>
      <c r="W35" s="27"/>
      <c r="X35" s="36"/>
      <c r="Y35" s="14"/>
      <c r="Z35" s="14"/>
      <c r="AA35" s="14"/>
      <c r="AB35" s="1"/>
      <c r="AC35" s="1"/>
      <c r="AD35" s="14"/>
    </row>
    <row r="36" spans="1:72" ht="12.75">
      <c r="A36" s="1" t="s">
        <v>26</v>
      </c>
      <c r="B36" s="1">
        <v>16438</v>
      </c>
      <c r="C36" s="1">
        <v>18115</v>
      </c>
      <c r="D36" s="1">
        <v>18744</v>
      </c>
      <c r="E36" s="1">
        <v>19379</v>
      </c>
      <c r="F36" s="1">
        <v>19245</v>
      </c>
      <c r="G36" s="1">
        <v>19894.834469999998</v>
      </c>
      <c r="H36" s="1">
        <v>23348.73391</v>
      </c>
      <c r="I36" s="1">
        <v>21293.73343</v>
      </c>
      <c r="J36" s="1">
        <v>21899.59277</v>
      </c>
      <c r="K36" s="1">
        <v>22974.026770000004</v>
      </c>
      <c r="L36" s="245">
        <f>(K36-J36)*100/J36</f>
        <v>4.906182554553523</v>
      </c>
      <c r="M36" s="48">
        <f>(K36-AC36)*100/AC36</f>
        <v>51.513729275209414</v>
      </c>
      <c r="N36" s="14">
        <v>6545</v>
      </c>
      <c r="O36" s="14">
        <v>7114</v>
      </c>
      <c r="P36" s="27">
        <v>7695</v>
      </c>
      <c r="Q36" s="27">
        <v>8886</v>
      </c>
      <c r="R36" s="27">
        <v>10038</v>
      </c>
      <c r="S36" s="27">
        <v>11614</v>
      </c>
      <c r="T36" s="27">
        <v>12131</v>
      </c>
      <c r="U36" s="27">
        <v>12072</v>
      </c>
      <c r="V36" s="27">
        <v>12248</v>
      </c>
      <c r="W36" s="27">
        <f>11352.991+1548.907</f>
        <v>12901.898</v>
      </c>
      <c r="X36" s="36">
        <f>11858.172+1490.217</f>
        <v>13348.389000000001</v>
      </c>
      <c r="Y36" s="14">
        <f>12197.58+1607.957</f>
        <v>13805.537</v>
      </c>
      <c r="Z36" s="14">
        <v>14765</v>
      </c>
      <c r="AA36" s="14">
        <v>13698</v>
      </c>
      <c r="AB36" s="1">
        <v>14376</v>
      </c>
      <c r="AC36" s="1">
        <v>15163</v>
      </c>
      <c r="AD36" s="14"/>
      <c r="AE36" s="3">
        <v>16710391</v>
      </c>
      <c r="AF36" s="3">
        <v>0</v>
      </c>
      <c r="AG36" s="3">
        <v>2668116.55</v>
      </c>
      <c r="AH36" s="3">
        <f>AE36-AF36+AG36</f>
        <v>19378507.55</v>
      </c>
      <c r="AI36" s="3">
        <f>AH36/1000</f>
        <v>19378.507550000002</v>
      </c>
      <c r="AL36" s="3">
        <v>16562937</v>
      </c>
      <c r="AM36" s="3">
        <v>0</v>
      </c>
      <c r="AN36" s="3">
        <v>2681994.6</v>
      </c>
      <c r="AO36" s="3">
        <f>AL36-AM36+AN36</f>
        <v>19244931.6</v>
      </c>
      <c r="AP36" s="3">
        <f>AO36/1000</f>
        <v>19244.9316</v>
      </c>
      <c r="AR36" s="3">
        <v>17269091.98</v>
      </c>
      <c r="AS36" s="3">
        <v>0</v>
      </c>
      <c r="AT36" s="3">
        <v>2625742.49</v>
      </c>
      <c r="AU36" s="3">
        <f>AR36-AS36+AT36</f>
        <v>19894834.47</v>
      </c>
      <c r="AV36" s="3">
        <f>AU36/1000</f>
        <v>19894.834469999998</v>
      </c>
      <c r="AX36" s="3">
        <v>20492325.64</v>
      </c>
      <c r="AY36" s="3">
        <v>0</v>
      </c>
      <c r="AZ36" s="3">
        <v>2856408.27</v>
      </c>
      <c r="BA36" s="3">
        <f>AX36-AY36+AZ36</f>
        <v>23348733.91</v>
      </c>
      <c r="BB36" s="3">
        <f>BA36/1000</f>
        <v>23348.73391</v>
      </c>
      <c r="BD36" s="3">
        <v>18251104.04</v>
      </c>
      <c r="BE36" s="3">
        <v>42206.09</v>
      </c>
      <c r="BF36" s="3">
        <v>3084835.48</v>
      </c>
      <c r="BG36" s="3">
        <f>BD36-BE36+BF36</f>
        <v>21293733.43</v>
      </c>
      <c r="BH36" s="3">
        <f>BG36/1000</f>
        <v>21293.73343</v>
      </c>
      <c r="BJ36" s="3">
        <v>18777031.43</v>
      </c>
      <c r="BK36" s="3">
        <v>0</v>
      </c>
      <c r="BL36" s="3">
        <v>3122561.34</v>
      </c>
      <c r="BM36" s="3">
        <f>BJ36-BK36+BL36</f>
        <v>21899592.77</v>
      </c>
      <c r="BN36" s="3">
        <f>BM36/1000</f>
        <v>21899.59277</v>
      </c>
      <c r="BP36" s="3">
        <v>19722434.700000003</v>
      </c>
      <c r="BQ36" s="3">
        <v>0</v>
      </c>
      <c r="BR36" s="3">
        <v>3251592.0700000003</v>
      </c>
      <c r="BS36" s="3">
        <f>BP36-BQ36+BR36</f>
        <v>22974026.770000003</v>
      </c>
      <c r="BT36" s="3">
        <f>BS36/1000</f>
        <v>22974.026770000004</v>
      </c>
    </row>
    <row r="37" spans="1:72" ht="12.75">
      <c r="A37" s="1" t="s">
        <v>27</v>
      </c>
      <c r="B37" s="1">
        <v>70270</v>
      </c>
      <c r="C37" s="1">
        <v>74966</v>
      </c>
      <c r="D37" s="1">
        <v>77546</v>
      </c>
      <c r="E37" s="1">
        <v>81541</v>
      </c>
      <c r="F37" s="1">
        <v>86553</v>
      </c>
      <c r="G37" s="1">
        <v>94978.24774999998</v>
      </c>
      <c r="H37" s="1">
        <v>112935.04634999998</v>
      </c>
      <c r="I37" s="1">
        <v>112137.9538</v>
      </c>
      <c r="J37" s="1">
        <v>115466.64014000003</v>
      </c>
      <c r="K37" s="1">
        <v>120629.38788999997</v>
      </c>
      <c r="L37" s="245">
        <f>(K37-J37)*100/J37</f>
        <v>4.471202889198344</v>
      </c>
      <c r="M37" s="48">
        <f>(K37-AC37)*100/AC37</f>
        <v>78.53563610395757</v>
      </c>
      <c r="N37" s="14">
        <v>30549</v>
      </c>
      <c r="O37" s="14">
        <v>33280</v>
      </c>
      <c r="P37" s="27">
        <v>36367</v>
      </c>
      <c r="Q37" s="27">
        <v>39203</v>
      </c>
      <c r="R37" s="27">
        <v>42168</v>
      </c>
      <c r="S37" s="27">
        <v>45748</v>
      </c>
      <c r="T37" s="27">
        <v>50020</v>
      </c>
      <c r="U37" s="27">
        <v>51549</v>
      </c>
      <c r="V37" s="27">
        <v>53042</v>
      </c>
      <c r="W37" s="27">
        <f>48911.459+6917.28</f>
        <v>55828.739</v>
      </c>
      <c r="X37" s="36">
        <f>52668.1+7653.217</f>
        <v>60321.316999999995</v>
      </c>
      <c r="Y37" s="14">
        <f>53624.262+7786.114</f>
        <v>61410.376000000004</v>
      </c>
      <c r="Z37" s="14">
        <v>62469</v>
      </c>
      <c r="AA37" s="14">
        <v>58978</v>
      </c>
      <c r="AB37" s="1">
        <v>63803</v>
      </c>
      <c r="AC37" s="1">
        <v>67566</v>
      </c>
      <c r="AD37" s="14"/>
      <c r="AE37" s="3">
        <v>69064773</v>
      </c>
      <c r="AF37" s="3">
        <v>47394.22</v>
      </c>
      <c r="AG37" s="3">
        <v>12523366</v>
      </c>
      <c r="AH37" s="3">
        <f>AE37-AF37+AG37</f>
        <v>81540744.78</v>
      </c>
      <c r="AI37" s="3">
        <f>AH37/1000</f>
        <v>81540.74478000001</v>
      </c>
      <c r="AL37" s="3">
        <v>73259897</v>
      </c>
      <c r="AM37" s="3">
        <v>0</v>
      </c>
      <c r="AN37" s="3">
        <v>13293569</v>
      </c>
      <c r="AO37" s="3">
        <f>AL37-AM37+AN37</f>
        <v>86553466</v>
      </c>
      <c r="AP37" s="3">
        <f>AO37/1000</f>
        <v>86553.466</v>
      </c>
      <c r="AR37" s="3">
        <v>80184177.13999999</v>
      </c>
      <c r="AS37" s="3">
        <v>0</v>
      </c>
      <c r="AT37" s="3">
        <v>14794070.61</v>
      </c>
      <c r="AU37" s="3">
        <f>AR37-AS37+AT37</f>
        <v>94978247.74999999</v>
      </c>
      <c r="AV37" s="3">
        <f>AU37/1000</f>
        <v>94978.24774999998</v>
      </c>
      <c r="AX37" s="3">
        <v>97461260.24999999</v>
      </c>
      <c r="AY37" s="3">
        <v>0</v>
      </c>
      <c r="AZ37" s="3">
        <v>15473786.1</v>
      </c>
      <c r="BA37" s="3">
        <f>AX37-AY37+AZ37</f>
        <v>112935046.34999998</v>
      </c>
      <c r="BB37" s="3">
        <f>BA37/1000</f>
        <v>112935.04634999998</v>
      </c>
      <c r="BD37" s="3">
        <v>94137875.39</v>
      </c>
      <c r="BE37" s="3">
        <v>0</v>
      </c>
      <c r="BF37" s="3">
        <v>18000078.41</v>
      </c>
      <c r="BG37" s="3">
        <f>BD37-BE37+BF37</f>
        <v>112137953.8</v>
      </c>
      <c r="BH37" s="3">
        <f>BG37/1000</f>
        <v>112137.9538</v>
      </c>
      <c r="BJ37" s="3">
        <v>96936013.34000003</v>
      </c>
      <c r="BK37" s="3">
        <v>0</v>
      </c>
      <c r="BL37" s="3">
        <v>18530626.799999997</v>
      </c>
      <c r="BM37" s="3">
        <f>BJ37-BK37+BL37</f>
        <v>115466640.14000003</v>
      </c>
      <c r="BN37" s="3">
        <f>BM37/1000</f>
        <v>115466.64014000003</v>
      </c>
      <c r="BP37" s="3">
        <v>100087632.62999997</v>
      </c>
      <c r="BQ37" s="3">
        <v>0</v>
      </c>
      <c r="BR37" s="3">
        <v>20541755.26</v>
      </c>
      <c r="BS37" s="3">
        <f>BP37-BQ37+BR37</f>
        <v>120629387.88999997</v>
      </c>
      <c r="BT37" s="3">
        <f>BS37/1000</f>
        <v>120629.38788999997</v>
      </c>
    </row>
    <row r="38" spans="1:72" ht="12.75">
      <c r="A38" s="1" t="s">
        <v>28</v>
      </c>
      <c r="B38" s="1">
        <v>53435</v>
      </c>
      <c r="C38" s="1">
        <v>56262</v>
      </c>
      <c r="D38" s="1">
        <v>58601</v>
      </c>
      <c r="E38" s="1">
        <v>62024</v>
      </c>
      <c r="F38" s="1">
        <v>64944</v>
      </c>
      <c r="G38" s="1">
        <v>69498.16771</v>
      </c>
      <c r="H38" s="1">
        <v>82447.33878000002</v>
      </c>
      <c r="I38" s="1">
        <v>81564.00281</v>
      </c>
      <c r="J38" s="1">
        <v>85924.14701</v>
      </c>
      <c r="K38" s="1">
        <v>87654.66472</v>
      </c>
      <c r="L38" s="245">
        <f>(K38-J38)*100/J38</f>
        <v>2.0140062720652896</v>
      </c>
      <c r="M38" s="48">
        <f>(K38-AC38)*100/AC38</f>
        <v>77.83079224321655</v>
      </c>
      <c r="N38" s="14">
        <v>18393</v>
      </c>
      <c r="O38" s="14">
        <v>20164</v>
      </c>
      <c r="P38" s="27">
        <v>22062</v>
      </c>
      <c r="Q38" s="27">
        <v>24693</v>
      </c>
      <c r="R38" s="27">
        <v>27631</v>
      </c>
      <c r="S38" s="27">
        <v>30530</v>
      </c>
      <c r="T38" s="27">
        <v>34404</v>
      </c>
      <c r="U38" s="27">
        <v>34980</v>
      </c>
      <c r="V38" s="27">
        <v>36781</v>
      </c>
      <c r="W38" s="27">
        <f>33634.569+4821.776</f>
        <v>38456.345</v>
      </c>
      <c r="X38" s="36">
        <f>36060.569+5115.419</f>
        <v>41175.988000000005</v>
      </c>
      <c r="Y38" s="14">
        <f>36174.63+5298.006</f>
        <v>41472.636</v>
      </c>
      <c r="Z38" s="14">
        <v>44100</v>
      </c>
      <c r="AA38" s="14">
        <v>42830</v>
      </c>
      <c r="AB38" s="1">
        <v>46597</v>
      </c>
      <c r="AC38" s="1">
        <v>49291.05</v>
      </c>
      <c r="AD38" s="14"/>
      <c r="AE38" s="3">
        <v>51724652</v>
      </c>
      <c r="AF38" s="3">
        <v>252683.2</v>
      </c>
      <c r="AG38" s="3">
        <v>10551701</v>
      </c>
      <c r="AH38" s="3">
        <f>AE38-AF38+AG38</f>
        <v>62023669.8</v>
      </c>
      <c r="AI38" s="3">
        <f>AH38/1000</f>
        <v>62023.669799999996</v>
      </c>
      <c r="AL38" s="3">
        <v>53874438</v>
      </c>
      <c r="AM38" s="3">
        <v>295625.24</v>
      </c>
      <c r="AN38" s="3">
        <v>11364746</v>
      </c>
      <c r="AO38" s="3">
        <f>AL38-AM38+AN38</f>
        <v>64943558.76</v>
      </c>
      <c r="AP38" s="3">
        <f>AO38/1000</f>
        <v>64943.55876</v>
      </c>
      <c r="AR38" s="3">
        <v>57629456.66</v>
      </c>
      <c r="AS38" s="3">
        <v>367953.4</v>
      </c>
      <c r="AT38" s="3">
        <v>12236664.45</v>
      </c>
      <c r="AU38" s="3">
        <f>AR38-AS38+AT38</f>
        <v>69498167.71</v>
      </c>
      <c r="AV38" s="3">
        <f>AU38/1000</f>
        <v>69498.16771</v>
      </c>
      <c r="AX38" s="3">
        <v>69320626.75000001</v>
      </c>
      <c r="AY38" s="3">
        <v>499607.19</v>
      </c>
      <c r="AZ38" s="3">
        <v>13626319.22</v>
      </c>
      <c r="BA38" s="3">
        <f>AX38-AY38+AZ38</f>
        <v>82447338.78000002</v>
      </c>
      <c r="BB38" s="3">
        <f>BA38/1000</f>
        <v>82447.33878000002</v>
      </c>
      <c r="BD38" s="3">
        <v>66784094.74</v>
      </c>
      <c r="BE38" s="3">
        <v>517500.92</v>
      </c>
      <c r="BF38" s="3">
        <v>15297408.990000002</v>
      </c>
      <c r="BG38" s="3">
        <f>BD38-BE38+BF38</f>
        <v>81564002.81</v>
      </c>
      <c r="BH38" s="3">
        <f>BG38/1000</f>
        <v>81564.00281</v>
      </c>
      <c r="BJ38" s="3">
        <v>70340938.47</v>
      </c>
      <c r="BK38" s="3">
        <v>570089.55</v>
      </c>
      <c r="BL38" s="3">
        <v>16153298.089999998</v>
      </c>
      <c r="BM38" s="3">
        <f>BJ38-BK38+BL38</f>
        <v>85924147.01</v>
      </c>
      <c r="BN38" s="3">
        <f>BM38/1000</f>
        <v>85924.14701</v>
      </c>
      <c r="BP38" s="3">
        <v>71132385.73</v>
      </c>
      <c r="BQ38" s="3">
        <v>373082.86</v>
      </c>
      <c r="BR38" s="3">
        <v>16895361.849999998</v>
      </c>
      <c r="BS38" s="3">
        <f>BP38-BQ38+BR38</f>
        <v>87654664.72</v>
      </c>
      <c r="BT38" s="3">
        <f>BS38/1000</f>
        <v>87654.66472</v>
      </c>
    </row>
    <row r="39" spans="1:72" ht="12.75">
      <c r="A39" s="17" t="s">
        <v>29</v>
      </c>
      <c r="B39" s="1">
        <v>28571</v>
      </c>
      <c r="C39" s="1">
        <v>31161</v>
      </c>
      <c r="D39" s="1">
        <v>33311</v>
      </c>
      <c r="E39" s="1">
        <v>35321</v>
      </c>
      <c r="F39" s="1">
        <v>38245</v>
      </c>
      <c r="G39" s="1">
        <v>40676.46020999999</v>
      </c>
      <c r="H39" s="1">
        <v>49534.14560000001</v>
      </c>
      <c r="I39" s="1">
        <v>48217.96071000001</v>
      </c>
      <c r="J39" s="1">
        <v>50616.869119999996</v>
      </c>
      <c r="K39" s="1">
        <v>50436.86781</v>
      </c>
      <c r="L39" s="245">
        <f>(K39-J39)*100/J39</f>
        <v>-0.35561525856775944</v>
      </c>
      <c r="M39" s="48">
        <f>(K39-AC39)*100/AC39</f>
        <v>93.43740051392193</v>
      </c>
      <c r="N39" s="14">
        <v>10062</v>
      </c>
      <c r="O39" s="14">
        <v>10947</v>
      </c>
      <c r="P39" s="27">
        <v>12947</v>
      </c>
      <c r="Q39" s="27">
        <v>13674</v>
      </c>
      <c r="R39" s="27">
        <v>14827</v>
      </c>
      <c r="S39" s="27">
        <v>16411</v>
      </c>
      <c r="T39" s="27">
        <v>17986</v>
      </c>
      <c r="U39" s="27">
        <v>18649</v>
      </c>
      <c r="V39" s="27">
        <v>19563</v>
      </c>
      <c r="W39" s="27">
        <f>18189.896+2156.269</f>
        <v>20346.165</v>
      </c>
      <c r="X39" s="36">
        <f>19273.581+2416.267</f>
        <v>21689.847999999998</v>
      </c>
      <c r="Y39" s="14">
        <f>19586.712+2528.625</f>
        <v>22115.337</v>
      </c>
      <c r="Z39" s="14">
        <v>23537</v>
      </c>
      <c r="AA39" s="14">
        <v>22792</v>
      </c>
      <c r="AB39" s="1">
        <v>24801</v>
      </c>
      <c r="AC39" s="1">
        <v>26074</v>
      </c>
      <c r="AD39" s="14"/>
      <c r="AE39" s="3">
        <v>30256273</v>
      </c>
      <c r="AF39" s="3">
        <v>188205.97</v>
      </c>
      <c r="AG39" s="3">
        <v>5253347.99</v>
      </c>
      <c r="AH39" s="3">
        <f>AE39-AF39+AG39</f>
        <v>35321415.02</v>
      </c>
      <c r="AI39" s="3">
        <f>AH39/1000</f>
        <v>35321.41502</v>
      </c>
      <c r="AL39" s="3">
        <v>32448352</v>
      </c>
      <c r="AM39" s="3">
        <v>190222.76</v>
      </c>
      <c r="AN39" s="3">
        <v>5986886</v>
      </c>
      <c r="AO39" s="3">
        <f>AL39-AM39+AN39</f>
        <v>38245015.239999995</v>
      </c>
      <c r="AP39" s="3">
        <f>AO39/1000</f>
        <v>38245.01523999999</v>
      </c>
      <c r="AR39" s="3">
        <v>34213400.47999999</v>
      </c>
      <c r="AS39" s="3">
        <v>222145.58</v>
      </c>
      <c r="AT39" s="3">
        <v>6685205.3100000005</v>
      </c>
      <c r="AU39" s="3">
        <f>AR39-AS39+AT39</f>
        <v>40676460.20999999</v>
      </c>
      <c r="AV39" s="3">
        <f>AU39/1000</f>
        <v>40676.46020999999</v>
      </c>
      <c r="AX39" s="3">
        <v>42312406.96000001</v>
      </c>
      <c r="AY39" s="3">
        <v>306474.21</v>
      </c>
      <c r="AZ39" s="3">
        <v>7528212.85</v>
      </c>
      <c r="BA39" s="3">
        <f>AX39-AY39+AZ39</f>
        <v>49534145.60000001</v>
      </c>
      <c r="BB39" s="3">
        <f>BA39/1000</f>
        <v>49534.14560000001</v>
      </c>
      <c r="BD39" s="3">
        <v>39976099.74000001</v>
      </c>
      <c r="BE39" s="3">
        <v>236472.06</v>
      </c>
      <c r="BF39" s="3">
        <v>8478333.03</v>
      </c>
      <c r="BG39" s="3">
        <f>BD39-BE39+BF39</f>
        <v>48217960.71000001</v>
      </c>
      <c r="BH39" s="3">
        <f>BG39/1000</f>
        <v>48217.96071000001</v>
      </c>
      <c r="BJ39" s="3">
        <v>41966312.78</v>
      </c>
      <c r="BK39" s="3">
        <v>261407.09</v>
      </c>
      <c r="BL39" s="3">
        <v>8911963.43</v>
      </c>
      <c r="BM39" s="3">
        <f>BJ39-BK39+BL39</f>
        <v>50616869.12</v>
      </c>
      <c r="BN39" s="3">
        <f>BM39/1000</f>
        <v>50616.869119999996</v>
      </c>
      <c r="BP39" s="3">
        <v>41418766.35000001</v>
      </c>
      <c r="BQ39" s="3">
        <v>244184.13</v>
      </c>
      <c r="BR39" s="3">
        <v>9262285.59</v>
      </c>
      <c r="BS39" s="3">
        <f>BP39-BQ39+BR39</f>
        <v>50436867.81</v>
      </c>
      <c r="BT39" s="3">
        <f>BS39/1000</f>
        <v>50436.86781</v>
      </c>
    </row>
    <row r="40" spans="1:25" ht="12.75">
      <c r="A40" s="1" t="s">
        <v>296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W40" s="18"/>
      <c r="X40" s="7"/>
      <c r="Y40" s="7"/>
    </row>
    <row r="41" spans="15:25" ht="12.75">
      <c r="O41" s="14"/>
      <c r="P41" s="14"/>
      <c r="Q41" s="14"/>
      <c r="R41" s="14"/>
      <c r="W41" s="14"/>
      <c r="X41" s="14"/>
      <c r="Y41" s="14"/>
    </row>
    <row r="42" spans="15:25" ht="12.75">
      <c r="O42" s="14"/>
      <c r="P42" s="14"/>
      <c r="Q42" s="14"/>
      <c r="W42" s="14"/>
      <c r="X42" s="14"/>
      <c r="Y42" s="14"/>
    </row>
    <row r="43" spans="15:25" ht="12.75">
      <c r="O43" s="14"/>
      <c r="P43" s="14"/>
      <c r="Q43" s="14"/>
      <c r="W43" s="14"/>
      <c r="X43" s="14"/>
      <c r="Y43" s="14"/>
    </row>
    <row r="44" spans="15:25" ht="12.75">
      <c r="O44" s="14"/>
      <c r="P44" s="14"/>
      <c r="Q44" s="14"/>
      <c r="W44" s="14"/>
      <c r="X44" s="14"/>
      <c r="Y44" s="14"/>
    </row>
    <row r="45" spans="15:25" ht="12.75">
      <c r="O45" s="14"/>
      <c r="P45" s="14"/>
      <c r="Q45" s="14"/>
      <c r="W45" s="14"/>
      <c r="X45" s="14"/>
      <c r="Y45" s="14"/>
    </row>
    <row r="46" spans="15:25" ht="12.75">
      <c r="O46" s="14"/>
      <c r="P46" s="14"/>
      <c r="Q46" s="14"/>
      <c r="W46" s="14"/>
      <c r="X46" s="14"/>
      <c r="Y46" s="14"/>
    </row>
    <row r="47" spans="23:25" ht="12.75">
      <c r="W47" s="14"/>
      <c r="X47" s="14"/>
      <c r="Y47" s="14"/>
    </row>
    <row r="48" spans="23:25" ht="12.75">
      <c r="W48" s="14"/>
      <c r="X48" s="14"/>
      <c r="Y48" s="14"/>
    </row>
    <row r="49" spans="23:25" ht="12.75">
      <c r="W49" s="14"/>
      <c r="X49" s="14"/>
      <c r="Y49" s="14"/>
    </row>
    <row r="50" spans="23:25" ht="12.75">
      <c r="W50" s="14"/>
      <c r="X50" s="14"/>
      <c r="Y50" s="14"/>
    </row>
    <row r="51" spans="23:25" ht="12.75">
      <c r="W51" s="14"/>
      <c r="X51" s="14"/>
      <c r="Y51" s="14"/>
    </row>
  </sheetData>
  <sheetProtection password="CAF5" sheet="1"/>
  <mergeCells count="8">
    <mergeCell ref="A4:M4"/>
    <mergeCell ref="AE7:AF7"/>
    <mergeCell ref="AG7:AG9"/>
    <mergeCell ref="AE6:AG6"/>
    <mergeCell ref="AL6:AN6"/>
    <mergeCell ref="AL7:AM7"/>
    <mergeCell ref="AN7:AN9"/>
    <mergeCell ref="AL5:AO5"/>
  </mergeCells>
  <printOptions horizontalCentered="1"/>
  <pageMargins left="0.48" right="0.45" top="1" bottom="1" header="0.5" footer="0.5"/>
  <pageSetup fitToHeight="1" fitToWidth="1" orientation="landscape" scale="77" r:id="rId3"/>
  <headerFooter scaleWithDoc="0" alignWithMargins="0">
    <oddFooter>&amp;L&amp;"Arial,Italic"&amp;10MSDE-LFRO  10 / 2011 &amp;C&amp;"Arial,Regular"&amp;10- 11 -&amp;R&amp;"Arial,Italic"&amp;10Selected Financial Data - Part 4</oddFooter>
  </headerFooter>
  <rowBreaks count="1" manualBreakCount="1">
    <brk id="41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6"/>
  <sheetViews>
    <sheetView zoomScalePageLayoutView="0" workbookViewId="0" topLeftCell="A25">
      <selection activeCell="A42" sqref="A42"/>
    </sheetView>
  </sheetViews>
  <sheetFormatPr defaultColWidth="10.00390625" defaultRowHeight="15.75"/>
  <cols>
    <col min="1" max="1" width="12.875" style="1" customWidth="1"/>
    <col min="2" max="11" width="12.625" style="1" customWidth="1"/>
    <col min="12" max="12" width="8.375" style="1" customWidth="1"/>
    <col min="13" max="13" width="8.125" style="1" customWidth="1"/>
    <col min="14" max="14" width="9.625" style="1" customWidth="1"/>
    <col min="15" max="15" width="9.375" style="1" customWidth="1"/>
    <col min="16" max="24" width="10.125" style="1" customWidth="1"/>
    <col min="25" max="25" width="13.25390625" style="1" customWidth="1"/>
    <col min="26" max="26" width="11.25390625" style="1" bestFit="1" customWidth="1"/>
    <col min="27" max="29" width="11.125" style="1" customWidth="1"/>
    <col min="30" max="30" width="7.375" style="1" customWidth="1"/>
    <col min="31" max="31" width="11.25390625" style="3" bestFit="1" customWidth="1"/>
    <col min="32" max="32" width="10.875" style="3" customWidth="1"/>
    <col min="33" max="33" width="12.375" style="3" customWidth="1"/>
    <col min="34" max="34" width="11.875" style="3" customWidth="1"/>
    <col min="35" max="36" width="10.125" style="3" customWidth="1"/>
    <col min="37" max="37" width="11.25390625" style="3" bestFit="1" customWidth="1"/>
    <col min="38" max="38" width="10.00390625" style="3" customWidth="1"/>
    <col min="39" max="39" width="11.625" style="3" customWidth="1"/>
    <col min="40" max="40" width="12.125" style="3" customWidth="1"/>
    <col min="41" max="41" width="14.125" style="3" customWidth="1"/>
    <col min="42" max="42" width="10.00390625" style="3" customWidth="1"/>
    <col min="43" max="43" width="11.25390625" style="3" bestFit="1" customWidth="1"/>
    <col min="44" max="45" width="10.00390625" style="3" customWidth="1"/>
    <col min="46" max="46" width="11.50390625" style="3" bestFit="1" customWidth="1"/>
    <col min="47" max="48" width="10.00390625" style="3" customWidth="1"/>
    <col min="49" max="49" width="11.50390625" style="3" customWidth="1"/>
    <col min="50" max="51" width="10.00390625" style="3" customWidth="1"/>
    <col min="52" max="52" width="12.875" style="3" customWidth="1"/>
    <col min="53" max="54" width="10.00390625" style="3" customWidth="1"/>
    <col min="55" max="55" width="11.25390625" style="3" bestFit="1" customWidth="1"/>
    <col min="56" max="57" width="10.00390625" style="3" customWidth="1"/>
    <col min="58" max="58" width="11.50390625" style="3" bestFit="1" customWidth="1"/>
    <col min="59" max="59" width="10.125" style="3" bestFit="1" customWidth="1"/>
    <col min="60" max="60" width="10.00390625" style="3" customWidth="1"/>
    <col min="61" max="61" width="11.25390625" style="3" bestFit="1" customWidth="1"/>
    <col min="62" max="62" width="10.125" style="3" bestFit="1" customWidth="1"/>
    <col min="63" max="63" width="10.25390625" style="3" bestFit="1" customWidth="1"/>
    <col min="64" max="64" width="11.50390625" style="3" bestFit="1" customWidth="1"/>
    <col min="65" max="65" width="10.125" style="3" bestFit="1" customWidth="1"/>
    <col min="66" max="66" width="10.00390625" style="3" customWidth="1"/>
    <col min="67" max="67" width="11.625" style="3" customWidth="1"/>
    <col min="68" max="68" width="10.125" style="3" bestFit="1" customWidth="1"/>
    <col min="69" max="69" width="10.375" style="3" bestFit="1" customWidth="1"/>
    <col min="70" max="70" width="11.50390625" style="3" bestFit="1" customWidth="1"/>
    <col min="71" max="71" width="10.125" style="3" bestFit="1" customWidth="1"/>
    <col min="72" max="16384" width="10.00390625" style="3" customWidth="1"/>
  </cols>
  <sheetData>
    <row r="1" spans="1:18" ht="15.75" customHeight="1">
      <c r="A1" s="239" t="s">
        <v>88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10"/>
      <c r="O1" s="10"/>
      <c r="P1" s="2"/>
      <c r="Q1" s="2"/>
      <c r="R1" s="2"/>
    </row>
    <row r="2" spans="1:25" ht="12.7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68"/>
      <c r="O2" s="68"/>
      <c r="P2" s="2"/>
      <c r="Q2" s="2"/>
      <c r="R2" s="2"/>
      <c r="W2" s="68"/>
      <c r="X2" s="68"/>
      <c r="Y2" s="68"/>
    </row>
    <row r="3" spans="1:30" s="225" customFormat="1" ht="12.75">
      <c r="A3" s="115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201"/>
      <c r="O3" s="68"/>
      <c r="P3" s="68"/>
      <c r="Q3" s="68"/>
      <c r="R3" s="68"/>
      <c r="S3" s="68"/>
      <c r="T3" s="68"/>
      <c r="U3" s="68"/>
      <c r="V3" s="68"/>
      <c r="W3" s="201"/>
      <c r="X3" s="201"/>
      <c r="Y3" s="201"/>
      <c r="Z3" s="68"/>
      <c r="AA3" s="68"/>
      <c r="AB3" s="68"/>
      <c r="AC3" s="68"/>
      <c r="AD3" s="68"/>
    </row>
    <row r="4" spans="1:37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201"/>
      <c r="P4" s="201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1"/>
    </row>
    <row r="5" spans="1:67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BI5" s="3" t="s">
        <v>275</v>
      </c>
      <c r="BO5" s="3" t="s">
        <v>285</v>
      </c>
    </row>
    <row r="6" spans="1:70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W6" s="5"/>
      <c r="X6" s="5"/>
      <c r="Y6" s="5"/>
      <c r="Z6" s="5"/>
      <c r="AA6" s="5"/>
      <c r="AB6" s="5"/>
      <c r="AC6" s="5"/>
      <c r="AD6" s="7"/>
      <c r="AE6" s="103" t="s">
        <v>141</v>
      </c>
      <c r="AF6" s="109" t="s">
        <v>147</v>
      </c>
      <c r="AG6" s="109" t="s">
        <v>149</v>
      </c>
      <c r="AH6" s="110" t="s">
        <v>112</v>
      </c>
      <c r="AK6" s="103" t="s">
        <v>141</v>
      </c>
      <c r="AL6" s="109" t="s">
        <v>147</v>
      </c>
      <c r="AM6" s="109" t="s">
        <v>149</v>
      </c>
      <c r="AN6" s="110" t="s">
        <v>112</v>
      </c>
      <c r="AQ6" s="103" t="s">
        <v>141</v>
      </c>
      <c r="AR6" s="109" t="s">
        <v>147</v>
      </c>
      <c r="AS6" s="109" t="s">
        <v>149</v>
      </c>
      <c r="AT6" s="110" t="s">
        <v>112</v>
      </c>
      <c r="AW6" s="103" t="s">
        <v>141</v>
      </c>
      <c r="AX6" s="109" t="s">
        <v>147</v>
      </c>
      <c r="AY6" s="109" t="s">
        <v>149</v>
      </c>
      <c r="AZ6" s="110" t="s">
        <v>112</v>
      </c>
      <c r="BC6" s="103" t="s">
        <v>141</v>
      </c>
      <c r="BD6" s="109" t="s">
        <v>147</v>
      </c>
      <c r="BE6" s="109" t="s">
        <v>149</v>
      </c>
      <c r="BF6" s="110" t="s">
        <v>112</v>
      </c>
      <c r="BI6" s="103" t="s">
        <v>141</v>
      </c>
      <c r="BJ6" s="109" t="s">
        <v>147</v>
      </c>
      <c r="BK6" s="109" t="s">
        <v>149</v>
      </c>
      <c r="BL6" s="110" t="s">
        <v>112</v>
      </c>
      <c r="BO6" s="103" t="s">
        <v>141</v>
      </c>
      <c r="BP6" s="109" t="s">
        <v>147</v>
      </c>
      <c r="BQ6" s="109" t="s">
        <v>149</v>
      </c>
      <c r="BR6" s="110" t="s">
        <v>112</v>
      </c>
    </row>
    <row r="7" spans="1:70" ht="12.75">
      <c r="A7" s="7"/>
      <c r="L7" s="6" t="s">
        <v>34</v>
      </c>
      <c r="M7" s="6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B7" s="7"/>
      <c r="AD7" s="7"/>
      <c r="AE7" s="39" t="s">
        <v>112</v>
      </c>
      <c r="AG7" s="29" t="s">
        <v>112</v>
      </c>
      <c r="AH7" s="103" t="s">
        <v>141</v>
      </c>
      <c r="AK7" s="39" t="s">
        <v>112</v>
      </c>
      <c r="AM7" s="29" t="s">
        <v>112</v>
      </c>
      <c r="AN7" s="103" t="s">
        <v>141</v>
      </c>
      <c r="AQ7" s="39" t="s">
        <v>112</v>
      </c>
      <c r="AS7" s="29" t="s">
        <v>112</v>
      </c>
      <c r="AT7" s="103" t="s">
        <v>141</v>
      </c>
      <c r="AW7" s="39" t="s">
        <v>112</v>
      </c>
      <c r="AY7" s="29" t="s">
        <v>112</v>
      </c>
      <c r="AZ7" s="103" t="s">
        <v>141</v>
      </c>
      <c r="BC7" s="39" t="s">
        <v>112</v>
      </c>
      <c r="BE7" s="29" t="s">
        <v>112</v>
      </c>
      <c r="BF7" s="103" t="s">
        <v>141</v>
      </c>
      <c r="BI7" s="39" t="s">
        <v>112</v>
      </c>
      <c r="BK7" s="29" t="s">
        <v>112</v>
      </c>
      <c r="BL7" s="103" t="s">
        <v>141</v>
      </c>
      <c r="BO7" s="39" t="s">
        <v>112</v>
      </c>
      <c r="BQ7" s="29" t="s">
        <v>112</v>
      </c>
      <c r="BR7" s="103" t="s">
        <v>141</v>
      </c>
    </row>
    <row r="8" spans="1:70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39" t="s">
        <v>143</v>
      </c>
      <c r="AF8" s="102" t="s">
        <v>145</v>
      </c>
      <c r="AG8" s="39" t="s">
        <v>145</v>
      </c>
      <c r="AH8" s="109" t="s">
        <v>150</v>
      </c>
      <c r="AK8" s="39" t="s">
        <v>143</v>
      </c>
      <c r="AL8" s="102" t="s">
        <v>145</v>
      </c>
      <c r="AM8" s="39" t="s">
        <v>145</v>
      </c>
      <c r="AN8" s="109" t="s">
        <v>150</v>
      </c>
      <c r="AQ8" s="39" t="s">
        <v>143</v>
      </c>
      <c r="AR8" s="102" t="s">
        <v>145</v>
      </c>
      <c r="AS8" s="39" t="s">
        <v>145</v>
      </c>
      <c r="AT8" s="109" t="s">
        <v>150</v>
      </c>
      <c r="AW8" s="39" t="s">
        <v>143</v>
      </c>
      <c r="AX8" s="102" t="s">
        <v>145</v>
      </c>
      <c r="AY8" s="39" t="s">
        <v>145</v>
      </c>
      <c r="AZ8" s="109" t="s">
        <v>150</v>
      </c>
      <c r="BC8" s="39" t="s">
        <v>143</v>
      </c>
      <c r="BD8" s="102" t="s">
        <v>145</v>
      </c>
      <c r="BE8" s="39" t="s">
        <v>145</v>
      </c>
      <c r="BF8" s="109" t="s">
        <v>150</v>
      </c>
      <c r="BI8" s="39" t="s">
        <v>143</v>
      </c>
      <c r="BJ8" s="102" t="s">
        <v>145</v>
      </c>
      <c r="BK8" s="39" t="s">
        <v>145</v>
      </c>
      <c r="BL8" s="109" t="s">
        <v>150</v>
      </c>
      <c r="BO8" s="39" t="s">
        <v>143</v>
      </c>
      <c r="BP8" s="102" t="s">
        <v>145</v>
      </c>
      <c r="BQ8" s="39" t="s">
        <v>145</v>
      </c>
      <c r="BR8" s="109" t="s">
        <v>150</v>
      </c>
    </row>
    <row r="9" spans="1:70" ht="13.5" thickBot="1">
      <c r="A9" s="8" t="s">
        <v>1</v>
      </c>
      <c r="B9" s="9" t="s">
        <v>105</v>
      </c>
      <c r="C9" s="9" t="s">
        <v>161</v>
      </c>
      <c r="D9" s="9" t="s">
        <v>168</v>
      </c>
      <c r="E9" s="9" t="s">
        <v>184</v>
      </c>
      <c r="F9" s="9" t="s">
        <v>194</v>
      </c>
      <c r="G9" s="9" t="s">
        <v>208</v>
      </c>
      <c r="H9" s="9" t="s">
        <v>243</v>
      </c>
      <c r="I9" s="9" t="s">
        <v>256</v>
      </c>
      <c r="J9" s="9" t="s">
        <v>269</v>
      </c>
      <c r="K9" s="9" t="s">
        <v>284</v>
      </c>
      <c r="L9" s="9" t="s">
        <v>84</v>
      </c>
      <c r="M9" s="9" t="s">
        <v>84</v>
      </c>
      <c r="N9" s="9" t="s">
        <v>55</v>
      </c>
      <c r="O9" s="9" t="s">
        <v>53</v>
      </c>
      <c r="P9" s="9" t="s">
        <v>73</v>
      </c>
      <c r="Q9" s="9" t="s">
        <v>74</v>
      </c>
      <c r="R9" s="9" t="s">
        <v>75</v>
      </c>
      <c r="S9" s="9" t="s">
        <v>76</v>
      </c>
      <c r="T9" s="9" t="s">
        <v>77</v>
      </c>
      <c r="U9" s="9" t="s">
        <v>50</v>
      </c>
      <c r="V9" s="9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4"/>
      <c r="AE9" s="40" t="s">
        <v>144</v>
      </c>
      <c r="AF9" s="40" t="s">
        <v>146</v>
      </c>
      <c r="AG9" s="40" t="s">
        <v>148</v>
      </c>
      <c r="AH9" s="109" t="s">
        <v>151</v>
      </c>
      <c r="AK9" s="40" t="s">
        <v>144</v>
      </c>
      <c r="AL9" s="40" t="s">
        <v>146</v>
      </c>
      <c r="AM9" s="40" t="s">
        <v>148</v>
      </c>
      <c r="AN9" s="109" t="s">
        <v>151</v>
      </c>
      <c r="AQ9" s="40" t="s">
        <v>144</v>
      </c>
      <c r="AR9" s="40" t="s">
        <v>146</v>
      </c>
      <c r="AS9" s="40" t="s">
        <v>148</v>
      </c>
      <c r="AT9" s="109" t="s">
        <v>151</v>
      </c>
      <c r="AW9" s="40" t="s">
        <v>144</v>
      </c>
      <c r="AX9" s="40" t="s">
        <v>146</v>
      </c>
      <c r="AY9" s="40" t="s">
        <v>148</v>
      </c>
      <c r="AZ9" s="109" t="s">
        <v>151</v>
      </c>
      <c r="BC9" s="40" t="s">
        <v>144</v>
      </c>
      <c r="BD9" s="40" t="s">
        <v>146</v>
      </c>
      <c r="BE9" s="40" t="s">
        <v>148</v>
      </c>
      <c r="BF9" s="109" t="s">
        <v>151</v>
      </c>
      <c r="BI9" s="40" t="s">
        <v>144</v>
      </c>
      <c r="BJ9" s="40" t="s">
        <v>146</v>
      </c>
      <c r="BK9" s="40" t="s">
        <v>148</v>
      </c>
      <c r="BL9" s="109" t="s">
        <v>151</v>
      </c>
      <c r="BO9" s="40" t="s">
        <v>144</v>
      </c>
      <c r="BP9" s="40" t="s">
        <v>146</v>
      </c>
      <c r="BQ9" s="40" t="s">
        <v>148</v>
      </c>
      <c r="BR9" s="109" t="s">
        <v>151</v>
      </c>
    </row>
    <row r="10" spans="1:71" ht="12.75">
      <c r="A10" s="7" t="s">
        <v>5</v>
      </c>
      <c r="B10" s="11">
        <f aca="true" t="shared" si="0" ref="B10:G10">SUM(B12:B43)</f>
        <v>165196</v>
      </c>
      <c r="C10" s="11">
        <f t="shared" si="0"/>
        <v>168490</v>
      </c>
      <c r="D10" s="11">
        <f t="shared" si="0"/>
        <v>169444</v>
      </c>
      <c r="E10" s="11">
        <f t="shared" si="0"/>
        <v>199115</v>
      </c>
      <c r="F10" s="11">
        <f t="shared" si="0"/>
        <v>212154</v>
      </c>
      <c r="G10" s="11">
        <f t="shared" si="0"/>
        <v>225699.26067</v>
      </c>
      <c r="H10" s="11">
        <f>SUM(H12:H43)</f>
        <v>235176.38896999997</v>
      </c>
      <c r="I10" s="11">
        <f>SUM(I12:I43)</f>
        <v>239459.55297</v>
      </c>
      <c r="J10" s="11">
        <f>SUM(J12:J43)</f>
        <v>206124.37111</v>
      </c>
      <c r="K10" s="11">
        <f>SUM(K12:K43)</f>
        <v>240666.18962999998</v>
      </c>
      <c r="L10" s="244">
        <f>(K10-J10)*100/J10</f>
        <v>16.757755686039882</v>
      </c>
      <c r="M10" s="244">
        <f>(K10-AC10)*100/AC10</f>
        <v>53.21984153556637</v>
      </c>
      <c r="N10" s="11">
        <f aca="true" t="shared" si="1" ref="N10:Y10">SUM(N12:N43)</f>
        <v>51235</v>
      </c>
      <c r="O10" s="11">
        <f t="shared" si="1"/>
        <v>53826</v>
      </c>
      <c r="P10" s="11">
        <f t="shared" si="1"/>
        <v>58258</v>
      </c>
      <c r="Q10" s="11">
        <f t="shared" si="1"/>
        <v>66768</v>
      </c>
      <c r="R10" s="11">
        <f t="shared" si="1"/>
        <v>73781</v>
      </c>
      <c r="S10" s="11">
        <f t="shared" si="1"/>
        <v>74878</v>
      </c>
      <c r="T10" s="11">
        <f t="shared" si="1"/>
        <v>83017</v>
      </c>
      <c r="U10" s="11">
        <f t="shared" si="1"/>
        <v>79703</v>
      </c>
      <c r="V10" s="11">
        <f t="shared" si="1"/>
        <v>86937.35100000001</v>
      </c>
      <c r="W10" s="11">
        <f t="shared" si="1"/>
        <v>92660.43199999999</v>
      </c>
      <c r="X10" s="11">
        <f t="shared" si="1"/>
        <v>102245.94799999999</v>
      </c>
      <c r="Y10" s="11">
        <f t="shared" si="1"/>
        <v>106367.85999999999</v>
      </c>
      <c r="Z10" s="11">
        <f>SUM(Z12:Z43)</f>
        <v>118365</v>
      </c>
      <c r="AA10" s="11">
        <f>SUM(AA12:AA43)</f>
        <v>128153</v>
      </c>
      <c r="AB10" s="11">
        <f>SUM(AB12:AB43)</f>
        <v>148298</v>
      </c>
      <c r="AC10" s="11">
        <f>SUM(AC12:AC43)</f>
        <v>157072.46999999997</v>
      </c>
      <c r="AD10" s="11"/>
      <c r="AE10" s="11">
        <f>SUM(AE12:AE43)</f>
        <v>180428021.14</v>
      </c>
      <c r="AF10" s="11">
        <f>SUM(AF12:AF43)</f>
        <v>902268.8799999999</v>
      </c>
      <c r="AG10" s="11">
        <f>SUM(AG12:AG43)</f>
        <v>19586974.45</v>
      </c>
      <c r="AH10" s="11">
        <f>SUM(AH12:AH43)</f>
        <v>199112726.71</v>
      </c>
      <c r="AI10" s="11">
        <f>SUM(AI12:AI43)</f>
        <v>199112.72671000002</v>
      </c>
      <c r="AK10" s="11">
        <f>SUM(AK12:AK43)</f>
        <v>198386931.60000002</v>
      </c>
      <c r="AL10" s="11">
        <f>SUM(AL12:AL43)</f>
        <v>598290.4299999999</v>
      </c>
      <c r="AM10" s="11">
        <f>SUM(AM12:AM43)</f>
        <v>14365748.91</v>
      </c>
      <c r="AN10" s="11">
        <f>SUM(AN12:AN43)</f>
        <v>212154390.07999995</v>
      </c>
      <c r="AO10" s="11">
        <f>SUM(AO12:AO43)</f>
        <v>212154.39007999995</v>
      </c>
      <c r="AQ10" s="11">
        <f>SUM(AQ12:AQ43)</f>
        <v>210645798.68</v>
      </c>
      <c r="AR10" s="11">
        <f>SUM(AR12:AR43)</f>
        <v>435938.30000000005</v>
      </c>
      <c r="AS10" s="11">
        <f>SUM(AS12:AS43)</f>
        <v>15489400.289999997</v>
      </c>
      <c r="AT10" s="11">
        <f>SUM(AT12:AT43)</f>
        <v>225699260.67000005</v>
      </c>
      <c r="AU10" s="11">
        <f>SUM(AU12:AU43)</f>
        <v>225699.26067</v>
      </c>
      <c r="AW10" s="11">
        <f>SUM(AW12:AW43)</f>
        <v>219122013.72000003</v>
      </c>
      <c r="AX10" s="11">
        <f>SUM(AX12:AX43)</f>
        <v>276209.14</v>
      </c>
      <c r="AY10" s="11">
        <f>SUM(AY12:AY43)</f>
        <v>16330584.39</v>
      </c>
      <c r="AZ10" s="11">
        <f>SUM(AZ12:AZ43)</f>
        <v>235176388.97</v>
      </c>
      <c r="BA10" s="11">
        <f>SUM(BA12:BA43)</f>
        <v>235176.38896999997</v>
      </c>
      <c r="BC10" s="11">
        <f>SUM(BC12:BC43)</f>
        <v>226468445.67</v>
      </c>
      <c r="BD10" s="11">
        <f>SUM(BD12:BD43)</f>
        <v>267348.63999999996</v>
      </c>
      <c r="BE10" s="11">
        <f>SUM(BE12:BE43)</f>
        <v>13258455.939999998</v>
      </c>
      <c r="BF10" s="11">
        <f>SUM(BF12:BF43)</f>
        <v>239459552.96999997</v>
      </c>
      <c r="BG10" s="11">
        <f>SUM(BG12:BG43)</f>
        <v>239459.55297</v>
      </c>
      <c r="BI10" s="11">
        <f>SUM(BI12:BI43)</f>
        <v>194332900.54</v>
      </c>
      <c r="BJ10" s="11">
        <f>SUM(BJ12:BJ43)</f>
        <v>298871.89999999997</v>
      </c>
      <c r="BK10" s="11">
        <f>SUM(BK12:BK43)</f>
        <v>12090342.47</v>
      </c>
      <c r="BL10" s="11">
        <f>SUM(BL12:BL43)</f>
        <v>206124371.11</v>
      </c>
      <c r="BM10" s="11">
        <f>SUM(BM12:BM43)</f>
        <v>206124.37111</v>
      </c>
      <c r="BO10" s="11">
        <f>SUM(BO12:BO43)</f>
        <v>216555175.93999997</v>
      </c>
      <c r="BP10" s="11">
        <f>SUM(BP12:BP43)</f>
        <v>234652.81999999998</v>
      </c>
      <c r="BQ10" s="11">
        <f>SUM(BQ12:BQ43)</f>
        <v>24345666.510000005</v>
      </c>
      <c r="BR10" s="11">
        <f>SUM(BR12:BR43)</f>
        <v>240666189.62999994</v>
      </c>
      <c r="BS10" s="11">
        <f>SUM(BS12:BS43)</f>
        <v>240666.18962999998</v>
      </c>
    </row>
    <row r="11" spans="13:70" ht="12.75">
      <c r="M11" s="14"/>
      <c r="O11" s="14"/>
      <c r="R11" s="14"/>
      <c r="S11" s="14"/>
      <c r="X11" s="21"/>
      <c r="Y11" s="14"/>
      <c r="Z11" s="14"/>
      <c r="AA11" s="30"/>
      <c r="AD11" s="14"/>
      <c r="AE11" s="1"/>
      <c r="BO11" s="3">
        <v>216555175.94000003</v>
      </c>
      <c r="BP11" s="3">
        <v>234652.81999999998</v>
      </c>
      <c r="BQ11" s="3">
        <v>24345666.510000005</v>
      </c>
      <c r="BR11" s="3">
        <f aca="true" t="shared" si="2" ref="BR11:BR16">BO11-BP11+BQ11</f>
        <v>240666189.63000005</v>
      </c>
    </row>
    <row r="12" spans="1:71" ht="12.75">
      <c r="A12" s="1" t="s">
        <v>6</v>
      </c>
      <c r="B12" s="1">
        <v>1743</v>
      </c>
      <c r="C12" s="1">
        <v>2200</v>
      </c>
      <c r="D12" s="1">
        <v>1850</v>
      </c>
      <c r="E12" s="1">
        <v>3355</v>
      </c>
      <c r="F12" s="1">
        <v>2726</v>
      </c>
      <c r="G12" s="1">
        <v>2536.37907</v>
      </c>
      <c r="H12" s="1">
        <v>2599.50743</v>
      </c>
      <c r="I12" s="1">
        <v>3081.70344</v>
      </c>
      <c r="J12" s="1">
        <v>4061.8552899999995</v>
      </c>
      <c r="K12" s="1">
        <v>4172.10133</v>
      </c>
      <c r="L12" s="244">
        <f>(K12-J12)*100/J12</f>
        <v>2.7141794113497557</v>
      </c>
      <c r="M12" s="244">
        <f>(K12-AC12)*100/AC12</f>
        <v>200.80038428262438</v>
      </c>
      <c r="N12" s="14">
        <v>944</v>
      </c>
      <c r="O12" s="14">
        <v>973</v>
      </c>
      <c r="P12" s="14">
        <v>937</v>
      </c>
      <c r="Q12" s="27">
        <v>1132</v>
      </c>
      <c r="R12" s="27">
        <v>1082</v>
      </c>
      <c r="S12" s="27">
        <v>988</v>
      </c>
      <c r="T12" s="27">
        <v>1358</v>
      </c>
      <c r="U12" s="27">
        <v>1281</v>
      </c>
      <c r="V12" s="27">
        <f>1289.705+41.488</f>
        <v>1331.193</v>
      </c>
      <c r="W12" s="27">
        <f>1145.467+44.58</f>
        <v>1190.047</v>
      </c>
      <c r="X12" s="36">
        <f>1173.419+43.288</f>
        <v>1216.707</v>
      </c>
      <c r="Y12" s="14">
        <f>1371.021+56.466</f>
        <v>1427.4869999999999</v>
      </c>
      <c r="Z12" s="14">
        <v>1510</v>
      </c>
      <c r="AA12" s="80">
        <v>1591</v>
      </c>
      <c r="AB12" s="1">
        <v>1212</v>
      </c>
      <c r="AC12" s="1">
        <v>1387</v>
      </c>
      <c r="AD12" s="14"/>
      <c r="AE12" s="1">
        <v>3155991.97</v>
      </c>
      <c r="AF12" s="3">
        <v>18504.38</v>
      </c>
      <c r="AG12" s="92">
        <v>217752.79</v>
      </c>
      <c r="AH12" s="3">
        <f>AE12-AF12+AG12</f>
        <v>3355240.3800000004</v>
      </c>
      <c r="AI12" s="3">
        <f>AH12/1000</f>
        <v>3355.24038</v>
      </c>
      <c r="AK12" s="3">
        <v>2576381</v>
      </c>
      <c r="AL12" s="3">
        <v>11025</v>
      </c>
      <c r="AM12" s="3">
        <v>161032</v>
      </c>
      <c r="AN12" s="3">
        <f>AK12-AL12+AM12</f>
        <v>2726388</v>
      </c>
      <c r="AO12" s="3">
        <f>AN12/1000</f>
        <v>2726.388</v>
      </c>
      <c r="AQ12" s="3">
        <v>2391158.39</v>
      </c>
      <c r="AR12" s="3">
        <v>22822.37</v>
      </c>
      <c r="AS12" s="3">
        <v>168043.05</v>
      </c>
      <c r="AT12" s="3">
        <f>AQ12-AR12+AS12</f>
        <v>2536379.07</v>
      </c>
      <c r="AU12" s="3">
        <f>AT12/1000</f>
        <v>2536.37907</v>
      </c>
      <c r="AW12" s="3">
        <v>2445242.13</v>
      </c>
      <c r="AX12" s="3">
        <v>11729.36</v>
      </c>
      <c r="AY12" s="3">
        <v>165994.66</v>
      </c>
      <c r="AZ12" s="3">
        <f>AW12-AX12+AY12</f>
        <v>2599507.43</v>
      </c>
      <c r="BA12" s="3">
        <f>AZ12/1000</f>
        <v>2599.50743</v>
      </c>
      <c r="BC12" s="262">
        <v>2929568.4</v>
      </c>
      <c r="BD12" s="3">
        <v>7360.48</v>
      </c>
      <c r="BE12" s="3">
        <v>159495.52</v>
      </c>
      <c r="BF12" s="3">
        <f>BC12-BD12+BE12</f>
        <v>3081703.44</v>
      </c>
      <c r="BG12" s="3">
        <f>BF12/1000</f>
        <v>3081.70344</v>
      </c>
      <c r="BI12" s="262">
        <v>3935223.2199999997</v>
      </c>
      <c r="BJ12" s="3">
        <v>26190.91</v>
      </c>
      <c r="BK12" s="3">
        <v>152822.97999999998</v>
      </c>
      <c r="BL12" s="3">
        <f>BI12-BJ12+BK12</f>
        <v>4061855.2899999996</v>
      </c>
      <c r="BM12" s="3">
        <f>BL12/1000</f>
        <v>4061.8552899999995</v>
      </c>
      <c r="BO12" s="262">
        <v>3679029.2</v>
      </c>
      <c r="BP12" s="3">
        <v>10194.43</v>
      </c>
      <c r="BQ12" s="3">
        <v>503266.56</v>
      </c>
      <c r="BR12" s="3">
        <f t="shared" si="2"/>
        <v>4172101.33</v>
      </c>
      <c r="BS12" s="3">
        <f>BR12/1000</f>
        <v>4172.10133</v>
      </c>
    </row>
    <row r="13" spans="1:71" ht="12.75">
      <c r="A13" s="1" t="s">
        <v>7</v>
      </c>
      <c r="B13" s="1">
        <v>12755</v>
      </c>
      <c r="C13" s="1">
        <v>13182</v>
      </c>
      <c r="D13" s="1">
        <v>14885</v>
      </c>
      <c r="E13" s="1">
        <v>19833</v>
      </c>
      <c r="F13" s="1">
        <v>19045</v>
      </c>
      <c r="G13" s="1">
        <v>15171.93221</v>
      </c>
      <c r="H13" s="1">
        <v>16487.675369999997</v>
      </c>
      <c r="I13" s="1">
        <v>15529.478159999999</v>
      </c>
      <c r="J13" s="1">
        <v>14093.600209999995</v>
      </c>
      <c r="K13" s="1">
        <v>16834.20306</v>
      </c>
      <c r="L13" s="244">
        <f>(K13-J13)*100/J13</f>
        <v>19.4457257844978</v>
      </c>
      <c r="M13" s="244">
        <f>(K13-AC13)*100/AC13</f>
        <v>63.41014889616485</v>
      </c>
      <c r="N13" s="14">
        <v>5395</v>
      </c>
      <c r="O13" s="14">
        <v>6289</v>
      </c>
      <c r="P13" s="14">
        <v>6767</v>
      </c>
      <c r="Q13" s="27">
        <v>7175</v>
      </c>
      <c r="R13" s="27">
        <v>7630</v>
      </c>
      <c r="S13" s="27">
        <v>7504</v>
      </c>
      <c r="T13" s="27">
        <v>6932</v>
      </c>
      <c r="U13" s="27">
        <v>7161</v>
      </c>
      <c r="V13" s="27">
        <f>7309.27+192.166</f>
        <v>7501.436000000001</v>
      </c>
      <c r="W13" s="27">
        <f>7046.705+247.969</f>
        <v>7294.674</v>
      </c>
      <c r="X13" s="36">
        <f>6976.744+241.606</f>
        <v>7218.349999999999</v>
      </c>
      <c r="Y13" s="14">
        <f>8457.689+205.559</f>
        <v>8663.248</v>
      </c>
      <c r="Z13" s="14">
        <v>8912</v>
      </c>
      <c r="AA13" s="80">
        <v>8435</v>
      </c>
      <c r="AB13" s="1">
        <v>7928</v>
      </c>
      <c r="AC13" s="1">
        <v>10301.81</v>
      </c>
      <c r="AD13" s="14"/>
      <c r="AE13" s="1">
        <v>18523412</v>
      </c>
      <c r="AF13" s="3">
        <v>0</v>
      </c>
      <c r="AG13" s="92">
        <v>1309909.6</v>
      </c>
      <c r="AH13" s="3">
        <f>AE13-AF13+AG13</f>
        <v>19833321.6</v>
      </c>
      <c r="AI13" s="3">
        <f>AH13/1000</f>
        <v>19833.321600000003</v>
      </c>
      <c r="AK13" s="3">
        <v>17479522</v>
      </c>
      <c r="AL13" s="3">
        <v>0</v>
      </c>
      <c r="AM13" s="3">
        <v>1565393.4</v>
      </c>
      <c r="AN13" s="3">
        <f>AK13-AL13+AM13</f>
        <v>19044915.4</v>
      </c>
      <c r="AO13" s="3">
        <f>AN13/1000</f>
        <v>19044.915399999998</v>
      </c>
      <c r="AQ13" s="3">
        <v>13649630.21</v>
      </c>
      <c r="AR13" s="3">
        <v>0</v>
      </c>
      <c r="AS13" s="3">
        <v>1522302</v>
      </c>
      <c r="AT13" s="3">
        <f>AQ13-AR13+AS13</f>
        <v>15171932.21</v>
      </c>
      <c r="AU13" s="3">
        <f>AT13/1000</f>
        <v>15171.93221</v>
      </c>
      <c r="AW13" s="3">
        <v>15242043.369999995</v>
      </c>
      <c r="AX13" s="3">
        <v>3497</v>
      </c>
      <c r="AY13" s="3">
        <v>1249129</v>
      </c>
      <c r="AZ13" s="3">
        <f>AW13-AX13+AY13</f>
        <v>16487675.369999995</v>
      </c>
      <c r="BA13" s="3">
        <f>AZ13/1000</f>
        <v>16487.675369999997</v>
      </c>
      <c r="BC13" s="262">
        <v>14382971.909999998</v>
      </c>
      <c r="BD13" s="3">
        <v>12911.75</v>
      </c>
      <c r="BE13" s="3">
        <v>1159418</v>
      </c>
      <c r="BF13" s="3">
        <f>BC13-BD13+BE13</f>
        <v>15529478.159999998</v>
      </c>
      <c r="BG13" s="3">
        <f>BF13/1000</f>
        <v>15529.478159999999</v>
      </c>
      <c r="BI13" s="262">
        <v>13014431.209999995</v>
      </c>
      <c r="BJ13" s="3">
        <v>16862</v>
      </c>
      <c r="BK13" s="3">
        <v>1096031.0000000005</v>
      </c>
      <c r="BL13" s="3">
        <f>BI13-BJ13+BK13</f>
        <v>14093600.209999995</v>
      </c>
      <c r="BM13" s="3">
        <f>BL13/1000</f>
        <v>14093.600209999995</v>
      </c>
      <c r="BO13" s="262">
        <v>14495779.059999999</v>
      </c>
      <c r="BP13" s="3">
        <v>6599.66</v>
      </c>
      <c r="BQ13" s="3">
        <v>2345023.6599999997</v>
      </c>
      <c r="BR13" s="3">
        <f t="shared" si="2"/>
        <v>16834203.06</v>
      </c>
      <c r="BS13" s="3">
        <f>BR13/1000</f>
        <v>16834.20306</v>
      </c>
    </row>
    <row r="14" spans="1:71" ht="12.75">
      <c r="A14" s="1" t="s">
        <v>8</v>
      </c>
      <c r="B14" s="1">
        <v>11949</v>
      </c>
      <c r="C14" s="1">
        <v>14471</v>
      </c>
      <c r="D14" s="1">
        <v>6320</v>
      </c>
      <c r="E14" s="1">
        <v>21649</v>
      </c>
      <c r="F14" s="1">
        <v>31057</v>
      </c>
      <c r="G14" s="1">
        <v>24806.690609999998</v>
      </c>
      <c r="H14" s="1">
        <v>27990.09018</v>
      </c>
      <c r="I14" s="1">
        <v>28827.159349999998</v>
      </c>
      <c r="J14" s="1">
        <v>20998.85604</v>
      </c>
      <c r="K14" s="1">
        <v>27037.73883</v>
      </c>
      <c r="L14" s="244">
        <f>(K14-J14)*100/J14</f>
        <v>28.758151294035923</v>
      </c>
      <c r="M14" s="244">
        <f>(K14-AC14)*100/AC14</f>
        <v>16.61737688160448</v>
      </c>
      <c r="N14" s="14">
        <v>6059</v>
      </c>
      <c r="O14" s="14">
        <v>6628</v>
      </c>
      <c r="P14" s="14">
        <v>5979</v>
      </c>
      <c r="Q14" s="27">
        <v>9487</v>
      </c>
      <c r="R14" s="27">
        <v>11057</v>
      </c>
      <c r="S14" s="27">
        <v>7688</v>
      </c>
      <c r="T14" s="27">
        <v>9749</v>
      </c>
      <c r="U14" s="27">
        <v>11196</v>
      </c>
      <c r="V14" s="27">
        <f>10121.235+556.359</f>
        <v>10677.594000000001</v>
      </c>
      <c r="W14" s="27">
        <f>10298.384+618.024</f>
        <v>10916.408</v>
      </c>
      <c r="X14" s="36">
        <f>10338.604+737.458</f>
        <v>11076.062</v>
      </c>
      <c r="Y14" s="14">
        <f>9312.388+776.952</f>
        <v>10089.34</v>
      </c>
      <c r="Z14" s="14">
        <v>13038</v>
      </c>
      <c r="AA14" s="80">
        <v>20520</v>
      </c>
      <c r="AB14" s="1">
        <v>24200</v>
      </c>
      <c r="AC14" s="1">
        <v>23185</v>
      </c>
      <c r="AD14" s="14"/>
      <c r="AE14" s="1">
        <v>12065115</v>
      </c>
      <c r="AF14" s="3">
        <v>0</v>
      </c>
      <c r="AG14" s="92">
        <v>9583591</v>
      </c>
      <c r="AH14" s="3">
        <f>AE14-AF14+AG14</f>
        <v>21648706</v>
      </c>
      <c r="AI14" s="3">
        <f>AH14/1000</f>
        <v>21648.706</v>
      </c>
      <c r="AK14" s="3">
        <v>30036410</v>
      </c>
      <c r="AL14" s="3">
        <v>0</v>
      </c>
      <c r="AM14" s="3">
        <v>1020128.26</v>
      </c>
      <c r="AN14" s="3">
        <f>AK14-AL14+AM14</f>
        <v>31056538.26</v>
      </c>
      <c r="AO14" s="3">
        <f>AN14/1000</f>
        <v>31056.53826</v>
      </c>
      <c r="AQ14" s="3">
        <v>24493800.97</v>
      </c>
      <c r="AR14" s="3">
        <v>0</v>
      </c>
      <c r="AS14" s="3">
        <v>312889.64</v>
      </c>
      <c r="AT14" s="3">
        <f>AQ14-AR14+AS14</f>
        <v>24806690.61</v>
      </c>
      <c r="AU14" s="3">
        <f>AT14/1000</f>
        <v>24806.690609999998</v>
      </c>
      <c r="AW14" s="3">
        <v>27596510.47</v>
      </c>
      <c r="AX14" s="3">
        <v>0</v>
      </c>
      <c r="AY14" s="3">
        <v>393579.71</v>
      </c>
      <c r="AZ14" s="3">
        <f>AW14-AX14+AY14</f>
        <v>27990090.18</v>
      </c>
      <c r="BA14" s="3">
        <f>AZ14/1000</f>
        <v>27990.09018</v>
      </c>
      <c r="BC14" s="262">
        <v>27988212.22</v>
      </c>
      <c r="BD14" s="3">
        <v>0</v>
      </c>
      <c r="BE14" s="3">
        <v>838947.13</v>
      </c>
      <c r="BF14" s="3">
        <f>BC14-BD14+BE14</f>
        <v>28827159.349999998</v>
      </c>
      <c r="BG14" s="3">
        <f>BF14/1000</f>
        <v>28827.159349999998</v>
      </c>
      <c r="BI14" s="262">
        <v>20547264.34</v>
      </c>
      <c r="BJ14" s="3">
        <v>0</v>
      </c>
      <c r="BK14" s="3">
        <v>451591.7</v>
      </c>
      <c r="BL14" s="3">
        <f>BI14-BJ14+BK14</f>
        <v>20998856.04</v>
      </c>
      <c r="BM14" s="3">
        <f>BL14/1000</f>
        <v>20998.85604</v>
      </c>
      <c r="BO14" s="262">
        <v>23460847.83</v>
      </c>
      <c r="BP14" s="3">
        <v>0</v>
      </c>
      <c r="BQ14" s="3">
        <v>3576891.000000001</v>
      </c>
      <c r="BR14" s="3">
        <f t="shared" si="2"/>
        <v>27037738.83</v>
      </c>
      <c r="BS14" s="3">
        <f>BR14/1000</f>
        <v>27037.73883</v>
      </c>
    </row>
    <row r="15" spans="1:71" ht="12.75">
      <c r="A15" s="1" t="s">
        <v>9</v>
      </c>
      <c r="B15" s="1">
        <v>30914</v>
      </c>
      <c r="C15" s="1">
        <v>25049</v>
      </c>
      <c r="D15" s="1">
        <v>21485</v>
      </c>
      <c r="E15" s="1">
        <v>25013</v>
      </c>
      <c r="F15" s="1">
        <v>26160</v>
      </c>
      <c r="G15" s="1">
        <v>25451.316400000003</v>
      </c>
      <c r="H15" s="1">
        <v>27910.764080000008</v>
      </c>
      <c r="I15" s="1">
        <v>26645.976909999994</v>
      </c>
      <c r="J15" s="1">
        <v>27391.025820000003</v>
      </c>
      <c r="K15" s="1">
        <v>48751.279350000004</v>
      </c>
      <c r="L15" s="244">
        <f>(K15-J15)*100/J15</f>
        <v>77.9826709315993</v>
      </c>
      <c r="M15" s="244">
        <f>(K15-AC15)*100/AC15</f>
        <v>145.04287182709226</v>
      </c>
      <c r="N15" s="14">
        <v>6120</v>
      </c>
      <c r="O15" s="14">
        <v>6280</v>
      </c>
      <c r="P15" s="14">
        <v>7435</v>
      </c>
      <c r="Q15" s="27">
        <v>7899</v>
      </c>
      <c r="R15" s="27">
        <v>6779</v>
      </c>
      <c r="S15" s="27">
        <v>6661</v>
      </c>
      <c r="T15" s="27">
        <v>8505</v>
      </c>
      <c r="U15" s="27">
        <v>8729</v>
      </c>
      <c r="V15" s="27">
        <f>8990.268+256.153</f>
        <v>9246.421</v>
      </c>
      <c r="W15" s="27">
        <f>11845.479+237.188</f>
        <v>12082.667</v>
      </c>
      <c r="X15" s="36">
        <f>14503.129+281.919</f>
        <v>14785.048</v>
      </c>
      <c r="Y15" s="14">
        <f>13940.889+266.459</f>
        <v>14207.348</v>
      </c>
      <c r="Z15" s="14">
        <v>17138</v>
      </c>
      <c r="AA15" s="80">
        <v>13771</v>
      </c>
      <c r="AB15" s="1">
        <v>17796</v>
      </c>
      <c r="AC15" s="1">
        <v>19895</v>
      </c>
      <c r="AD15" s="14"/>
      <c r="AE15" s="1">
        <v>23556944</v>
      </c>
      <c r="AF15" s="3">
        <v>22404.7</v>
      </c>
      <c r="AG15" s="92">
        <v>1478105.36</v>
      </c>
      <c r="AH15" s="3">
        <f>AE15-AF15+AG15</f>
        <v>25012644.66</v>
      </c>
      <c r="AI15" s="3">
        <f>AH15/1000</f>
        <v>25012.64466</v>
      </c>
      <c r="AK15" s="3">
        <v>23900345</v>
      </c>
      <c r="AL15" s="3">
        <v>12746.95</v>
      </c>
      <c r="AM15" s="3">
        <v>2272764.26</v>
      </c>
      <c r="AN15" s="3">
        <f>AK15-AL15+AM15</f>
        <v>26160362.310000002</v>
      </c>
      <c r="AO15" s="3">
        <f>AN15/1000</f>
        <v>26160.362310000004</v>
      </c>
      <c r="AQ15" s="3">
        <v>23789127.740000002</v>
      </c>
      <c r="AR15" s="3">
        <v>6986.22</v>
      </c>
      <c r="AS15" s="3">
        <v>1669174.88</v>
      </c>
      <c r="AT15" s="3">
        <f>AQ15-AR15+AS15</f>
        <v>25451316.400000002</v>
      </c>
      <c r="AU15" s="3">
        <f>AT15/1000</f>
        <v>25451.316400000003</v>
      </c>
      <c r="AW15" s="3">
        <v>26423980.85000001</v>
      </c>
      <c r="AX15" s="3">
        <v>3715.47</v>
      </c>
      <c r="AY15" s="3">
        <v>1490498.7</v>
      </c>
      <c r="AZ15" s="3">
        <f>AW15-AX15+AY15</f>
        <v>27910764.08000001</v>
      </c>
      <c r="BA15" s="3">
        <f>AZ15/1000</f>
        <v>27910.764080000008</v>
      </c>
      <c r="BC15" s="262">
        <v>25106037.929999996</v>
      </c>
      <c r="BD15" s="3">
        <v>5370.17</v>
      </c>
      <c r="BE15" s="3">
        <v>1545309.15</v>
      </c>
      <c r="BF15" s="3">
        <f>BC15-BD15+BE15</f>
        <v>26645976.909999993</v>
      </c>
      <c r="BG15" s="3">
        <f>BF15/1000</f>
        <v>26645.976909999994</v>
      </c>
      <c r="BI15" s="262">
        <v>25856869.680000003</v>
      </c>
      <c r="BJ15" s="3">
        <v>5121.8</v>
      </c>
      <c r="BK15" s="3">
        <v>1539277.94</v>
      </c>
      <c r="BL15" s="3">
        <f>BI15-BJ15+BK15</f>
        <v>27391025.820000004</v>
      </c>
      <c r="BM15" s="3">
        <f>BL15/1000</f>
        <v>27391.025820000003</v>
      </c>
      <c r="BO15" s="262">
        <v>46045680.24</v>
      </c>
      <c r="BP15" s="3">
        <v>4391.33</v>
      </c>
      <c r="BQ15" s="3">
        <v>2709990.4400000004</v>
      </c>
      <c r="BR15" s="3">
        <f t="shared" si="2"/>
        <v>48751279.35</v>
      </c>
      <c r="BS15" s="3">
        <f>BR15/1000</f>
        <v>48751.279350000004</v>
      </c>
    </row>
    <row r="16" spans="1:71" ht="12.75">
      <c r="A16" s="1" t="s">
        <v>10</v>
      </c>
      <c r="B16" s="1">
        <v>3371</v>
      </c>
      <c r="C16" s="1">
        <v>2935</v>
      </c>
      <c r="D16" s="1">
        <v>3307</v>
      </c>
      <c r="E16" s="1">
        <v>3420</v>
      </c>
      <c r="F16" s="1">
        <v>3175</v>
      </c>
      <c r="G16" s="1">
        <v>3198.73117</v>
      </c>
      <c r="H16" s="1">
        <v>3598.6335500000005</v>
      </c>
      <c r="I16" s="1">
        <v>3564.4922800000004</v>
      </c>
      <c r="J16" s="1">
        <v>2980.9489099999996</v>
      </c>
      <c r="K16" s="1">
        <v>3249.21941</v>
      </c>
      <c r="L16" s="244">
        <f>(K16-J16)*100/J16</f>
        <v>8.999500095424331</v>
      </c>
      <c r="M16" s="244">
        <f>(K16-AC16)*100/AC16</f>
        <v>10.743674505794143</v>
      </c>
      <c r="N16" s="14">
        <v>889</v>
      </c>
      <c r="O16" s="14">
        <v>970</v>
      </c>
      <c r="P16" s="14">
        <v>925</v>
      </c>
      <c r="Q16" s="27">
        <v>1102</v>
      </c>
      <c r="R16" s="27">
        <v>1292</v>
      </c>
      <c r="S16" s="27">
        <v>1344</v>
      </c>
      <c r="T16" s="27">
        <v>1594</v>
      </c>
      <c r="U16" s="27">
        <v>1776</v>
      </c>
      <c r="V16" s="27">
        <f>2147.481+56.866</f>
        <v>2204.347</v>
      </c>
      <c r="W16" s="27">
        <f>2167.412+100.095</f>
        <v>2267.5069999999996</v>
      </c>
      <c r="X16" s="36">
        <f>2101.896+96.839</f>
        <v>2198.735</v>
      </c>
      <c r="Y16" s="14">
        <f>2364.224+162.213</f>
        <v>2526.4370000000004</v>
      </c>
      <c r="Z16" s="14">
        <v>2415</v>
      </c>
      <c r="AA16" s="80">
        <v>2451</v>
      </c>
      <c r="AB16" s="1">
        <v>2503</v>
      </c>
      <c r="AC16" s="1">
        <v>2934</v>
      </c>
      <c r="AD16" s="14"/>
      <c r="AE16" s="1">
        <v>3098520.7</v>
      </c>
      <c r="AF16" s="3">
        <v>8552.34</v>
      </c>
      <c r="AG16" s="92">
        <v>329615.64</v>
      </c>
      <c r="AH16" s="3">
        <f>AE16-AF16+AG16</f>
        <v>3419584.0000000005</v>
      </c>
      <c r="AI16" s="3">
        <f>AH16/1000</f>
        <v>3419.5840000000003</v>
      </c>
      <c r="AK16" s="3">
        <v>2812874.75</v>
      </c>
      <c r="AL16" s="3">
        <v>22138.29</v>
      </c>
      <c r="AM16" s="3">
        <v>384120.52</v>
      </c>
      <c r="AN16" s="3">
        <f>AK16-AL16+AM16</f>
        <v>3174856.98</v>
      </c>
      <c r="AO16" s="3">
        <f>AN16/1000</f>
        <v>3174.85698</v>
      </c>
      <c r="AQ16" s="3">
        <v>2867215.25</v>
      </c>
      <c r="AR16" s="3">
        <v>11292.46</v>
      </c>
      <c r="AS16" s="3">
        <v>342808.38</v>
      </c>
      <c r="AT16" s="3">
        <f>AQ16-AR16+AS16</f>
        <v>3198731.17</v>
      </c>
      <c r="AU16" s="3">
        <f>AT16/1000</f>
        <v>3198.73117</v>
      </c>
      <c r="AW16" s="3">
        <v>3292318.66</v>
      </c>
      <c r="AX16" s="3">
        <v>14304.67</v>
      </c>
      <c r="AY16" s="3">
        <v>320619.56</v>
      </c>
      <c r="AZ16" s="3">
        <f>AW16-AX16+AY16</f>
        <v>3598633.5500000003</v>
      </c>
      <c r="BA16" s="3">
        <f>AZ16/1000</f>
        <v>3598.6335500000005</v>
      </c>
      <c r="BC16" s="262">
        <v>3221178.08</v>
      </c>
      <c r="BD16" s="3">
        <v>28893.83</v>
      </c>
      <c r="BE16" s="3">
        <v>372208.03</v>
      </c>
      <c r="BF16" s="3">
        <f>BC16-BD16+BE16</f>
        <v>3564492.2800000003</v>
      </c>
      <c r="BG16" s="3">
        <f>BF16/1000</f>
        <v>3564.4922800000004</v>
      </c>
      <c r="BI16" s="262">
        <v>2602465.81</v>
      </c>
      <c r="BJ16" s="3">
        <v>20753.739999999998</v>
      </c>
      <c r="BK16" s="3">
        <v>399236.84</v>
      </c>
      <c r="BL16" s="3">
        <f>BI16-BJ16+BK16</f>
        <v>2980948.9099999997</v>
      </c>
      <c r="BM16" s="3">
        <f>BL16/1000</f>
        <v>2980.9489099999996</v>
      </c>
      <c r="BO16" s="262">
        <v>2614791.77</v>
      </c>
      <c r="BP16" s="3">
        <v>15192.45</v>
      </c>
      <c r="BQ16" s="3">
        <v>649620.0900000001</v>
      </c>
      <c r="BR16" s="3">
        <f t="shared" si="2"/>
        <v>3249219.41</v>
      </c>
      <c r="BS16" s="3">
        <f>BR16/1000</f>
        <v>3249.21941</v>
      </c>
    </row>
    <row r="17" spans="12:68" ht="12.75">
      <c r="L17" s="244"/>
      <c r="M17" s="244"/>
      <c r="N17" s="14"/>
      <c r="P17" s="14"/>
      <c r="Q17" s="27"/>
      <c r="R17" s="27"/>
      <c r="S17" s="27"/>
      <c r="T17" s="27"/>
      <c r="U17" s="27"/>
      <c r="V17" s="27"/>
      <c r="W17" s="27"/>
      <c r="X17" s="36"/>
      <c r="Y17" s="14"/>
      <c r="Z17" s="14"/>
      <c r="AA17" s="80"/>
      <c r="AD17" s="14"/>
      <c r="AE17" s="1"/>
      <c r="AG17" s="92"/>
      <c r="AR17" s="92"/>
      <c r="AX17" s="92"/>
      <c r="BC17" s="262"/>
      <c r="BD17" s="92"/>
      <c r="BI17" s="262"/>
      <c r="BJ17" s="92"/>
      <c r="BO17" s="262"/>
      <c r="BP17" s="92"/>
    </row>
    <row r="18" spans="1:71" ht="12.75">
      <c r="A18" s="1" t="s">
        <v>11</v>
      </c>
      <c r="B18" s="1">
        <v>1266</v>
      </c>
      <c r="C18" s="1">
        <v>1190</v>
      </c>
      <c r="D18" s="1">
        <v>1142</v>
      </c>
      <c r="E18" s="1">
        <v>1232</v>
      </c>
      <c r="F18" s="1">
        <v>933</v>
      </c>
      <c r="G18" s="1">
        <v>1149.40526</v>
      </c>
      <c r="H18" s="1">
        <v>1372.9059499999998</v>
      </c>
      <c r="I18" s="1">
        <v>1796.2453</v>
      </c>
      <c r="J18" s="1">
        <v>1263.97752</v>
      </c>
      <c r="K18" s="1">
        <v>1235.3475999999998</v>
      </c>
      <c r="L18" s="244">
        <f>(K18-J18)*100/J18</f>
        <v>-2.2650656002173273</v>
      </c>
      <c r="M18" s="244">
        <f>(K18-AC18)*100/AC18</f>
        <v>21.5893307086614</v>
      </c>
      <c r="N18" s="14">
        <v>268</v>
      </c>
      <c r="O18" s="14">
        <v>336</v>
      </c>
      <c r="P18" s="14">
        <v>344</v>
      </c>
      <c r="Q18" s="27">
        <v>339</v>
      </c>
      <c r="R18" s="27">
        <v>420</v>
      </c>
      <c r="S18" s="27">
        <v>409</v>
      </c>
      <c r="T18" s="27">
        <v>467</v>
      </c>
      <c r="U18" s="27">
        <v>429</v>
      </c>
      <c r="V18" s="27">
        <f>531.577+27.956</f>
        <v>559.533</v>
      </c>
      <c r="W18" s="27">
        <f>640.399+29.637</f>
        <v>670.0360000000001</v>
      </c>
      <c r="X18" s="36">
        <f>768.326+31.511</f>
        <v>799.837</v>
      </c>
      <c r="Y18" s="14">
        <f>602.432+35.31</f>
        <v>637.742</v>
      </c>
      <c r="Z18" s="14">
        <v>867</v>
      </c>
      <c r="AA18" s="80">
        <v>817</v>
      </c>
      <c r="AB18" s="1">
        <v>808</v>
      </c>
      <c r="AC18" s="1">
        <v>1016</v>
      </c>
      <c r="AD18" s="14"/>
      <c r="AE18" s="1">
        <v>1170252.08</v>
      </c>
      <c r="AF18" s="3">
        <v>0</v>
      </c>
      <c r="AG18" s="92">
        <v>61536.83</v>
      </c>
      <c r="AH18" s="3">
        <f>AE18-AF18+AG18</f>
        <v>1231788.9100000001</v>
      </c>
      <c r="AI18" s="3">
        <f>AH18/1000</f>
        <v>1231.7889100000002</v>
      </c>
      <c r="AK18" s="3">
        <v>874644.6</v>
      </c>
      <c r="AL18" s="3">
        <v>0</v>
      </c>
      <c r="AM18" s="3">
        <v>58457.74</v>
      </c>
      <c r="AN18" s="3">
        <f>AK18-AL18+AM18</f>
        <v>933102.34</v>
      </c>
      <c r="AO18" s="3">
        <f>AN18/1000</f>
        <v>933.1023399999999</v>
      </c>
      <c r="AQ18" s="3">
        <v>1049427.61</v>
      </c>
      <c r="AR18" s="3">
        <v>0</v>
      </c>
      <c r="AS18" s="3">
        <v>99977.65</v>
      </c>
      <c r="AT18" s="3">
        <f>AQ18-AR18+AS18</f>
        <v>1149405.26</v>
      </c>
      <c r="AU18" s="3">
        <f>AT18/1000</f>
        <v>1149.40526</v>
      </c>
      <c r="AW18" s="3">
        <v>1253443.29</v>
      </c>
      <c r="AX18" s="3">
        <v>0</v>
      </c>
      <c r="AY18" s="3">
        <v>119462.66</v>
      </c>
      <c r="AZ18" s="3">
        <f>AW18-AX18+AY18</f>
        <v>1372905.95</v>
      </c>
      <c r="BA18" s="3">
        <f>AZ18/1000</f>
        <v>1372.9059499999998</v>
      </c>
      <c r="BC18" s="262">
        <v>1579464.8</v>
      </c>
      <c r="BD18" s="3">
        <v>0</v>
      </c>
      <c r="BE18" s="3">
        <v>216780.5</v>
      </c>
      <c r="BF18" s="3">
        <f>BC18-BD18+BE18</f>
        <v>1796245.3</v>
      </c>
      <c r="BG18" s="3">
        <f>BF18/1000</f>
        <v>1796.2453</v>
      </c>
      <c r="BI18" s="262">
        <v>1000272.04</v>
      </c>
      <c r="BJ18" s="3">
        <v>0</v>
      </c>
      <c r="BK18" s="3">
        <v>263705.48</v>
      </c>
      <c r="BL18" s="3">
        <f>BI18-BJ18+BK18</f>
        <v>1263977.52</v>
      </c>
      <c r="BM18" s="3">
        <f>BL18/1000</f>
        <v>1263.97752</v>
      </c>
      <c r="BO18" s="262">
        <v>850140</v>
      </c>
      <c r="BP18" s="3">
        <v>0</v>
      </c>
      <c r="BQ18" s="3">
        <v>385207.5999999999</v>
      </c>
      <c r="BR18" s="3">
        <f>BO18-BP18+BQ18</f>
        <v>1235347.5999999999</v>
      </c>
      <c r="BS18" s="3">
        <f>BR18/1000</f>
        <v>1235.3475999999998</v>
      </c>
    </row>
    <row r="19" spans="1:71" ht="12.75">
      <c r="A19" s="1" t="s">
        <v>12</v>
      </c>
      <c r="B19" s="1">
        <v>4975</v>
      </c>
      <c r="C19" s="1">
        <v>5733</v>
      </c>
      <c r="D19" s="1">
        <v>8311</v>
      </c>
      <c r="E19" s="1">
        <v>6879</v>
      </c>
      <c r="F19" s="1">
        <v>8679</v>
      </c>
      <c r="G19" s="1">
        <v>8698.928250000003</v>
      </c>
      <c r="H19" s="1">
        <v>8053.663529999995</v>
      </c>
      <c r="I19" s="1">
        <v>7057.1363200000005</v>
      </c>
      <c r="J19" s="1">
        <v>8976.79791</v>
      </c>
      <c r="K19" s="1">
        <v>10418.64688</v>
      </c>
      <c r="L19" s="244">
        <f>(K19-J19)*100/J19</f>
        <v>16.061951983945253</v>
      </c>
      <c r="M19" s="244">
        <f>(K19-AC19)*100/AC19</f>
        <v>141.0050168864215</v>
      </c>
      <c r="N19" s="14">
        <v>1774</v>
      </c>
      <c r="O19" s="14">
        <v>1805</v>
      </c>
      <c r="P19" s="14">
        <v>1900</v>
      </c>
      <c r="Q19" s="27">
        <v>2094</v>
      </c>
      <c r="R19" s="27">
        <v>2317</v>
      </c>
      <c r="S19" s="27">
        <v>2648</v>
      </c>
      <c r="T19" s="27">
        <v>3095</v>
      </c>
      <c r="U19" s="27">
        <v>2858</v>
      </c>
      <c r="V19" s="27">
        <f>3000.603+197.829</f>
        <v>3198.4320000000002</v>
      </c>
      <c r="W19" s="27">
        <f>3069.181+212.298</f>
        <v>3281.4790000000003</v>
      </c>
      <c r="X19" s="36">
        <f>4576.299+291.499</f>
        <v>4867.798</v>
      </c>
      <c r="Y19" s="14">
        <f>2766.735+273.994</f>
        <v>3040.7290000000003</v>
      </c>
      <c r="Z19" s="14">
        <v>4443</v>
      </c>
      <c r="AA19" s="80">
        <v>3403</v>
      </c>
      <c r="AB19" s="1">
        <v>4324</v>
      </c>
      <c r="AC19" s="1">
        <v>4323</v>
      </c>
      <c r="AD19" s="14"/>
      <c r="AE19" s="1">
        <v>6541196</v>
      </c>
      <c r="AF19" s="3">
        <v>26547.6</v>
      </c>
      <c r="AG19" s="92">
        <v>364092.67</v>
      </c>
      <c r="AH19" s="3">
        <f>AE19-AF19+AG19</f>
        <v>6878741.07</v>
      </c>
      <c r="AI19" s="3">
        <f>AH19/1000</f>
        <v>6878.74107</v>
      </c>
      <c r="AK19" s="3">
        <v>8323165</v>
      </c>
      <c r="AL19" s="3">
        <v>26903.74</v>
      </c>
      <c r="AM19" s="3">
        <v>382645.94</v>
      </c>
      <c r="AN19" s="3">
        <f>AK19-AL19+AM19</f>
        <v>8678907.2</v>
      </c>
      <c r="AO19" s="3">
        <f>AN19/1000</f>
        <v>8678.9072</v>
      </c>
      <c r="AQ19" s="3">
        <v>8318163.500000002</v>
      </c>
      <c r="AR19" s="3">
        <v>30077.15</v>
      </c>
      <c r="AS19" s="3">
        <v>410841.9</v>
      </c>
      <c r="AT19" s="3">
        <f>AQ19-AR19+AS19</f>
        <v>8698928.250000002</v>
      </c>
      <c r="AU19" s="3">
        <f>AT19/1000</f>
        <v>8698.928250000003</v>
      </c>
      <c r="AW19" s="3">
        <v>7678901.299999995</v>
      </c>
      <c r="AX19" s="3">
        <v>18691.75</v>
      </c>
      <c r="AY19" s="3">
        <v>393453.98</v>
      </c>
      <c r="AZ19" s="3">
        <f>AW19-AX19+AY19</f>
        <v>8053663.529999996</v>
      </c>
      <c r="BA19" s="3">
        <f>AZ19/1000</f>
        <v>8053.663529999995</v>
      </c>
      <c r="BC19" s="262">
        <v>6722681.42</v>
      </c>
      <c r="BD19" s="3">
        <v>0</v>
      </c>
      <c r="BE19" s="3">
        <v>334454.9</v>
      </c>
      <c r="BF19" s="3">
        <f>BC19-BD19+BE19</f>
        <v>7057136.32</v>
      </c>
      <c r="BG19" s="3">
        <f>BF19/1000</f>
        <v>7057.1363200000005</v>
      </c>
      <c r="BI19" s="262">
        <v>8471676.43</v>
      </c>
      <c r="BJ19" s="3">
        <v>0</v>
      </c>
      <c r="BK19" s="3">
        <v>505121.4799999999</v>
      </c>
      <c r="BL19" s="3">
        <f>BI19-BJ19+BK19</f>
        <v>8976797.91</v>
      </c>
      <c r="BM19" s="3">
        <f>BL19/1000</f>
        <v>8976.79791</v>
      </c>
      <c r="BO19" s="262">
        <v>9099881.71</v>
      </c>
      <c r="BP19" s="3">
        <v>0</v>
      </c>
      <c r="BQ19" s="3">
        <v>1318765.1700000002</v>
      </c>
      <c r="BR19" s="3">
        <f>BO19-BP19+BQ19</f>
        <v>10418646.88</v>
      </c>
      <c r="BS19" s="3">
        <f>BR19/1000</f>
        <v>10418.64688</v>
      </c>
    </row>
    <row r="20" spans="1:71" ht="12.75">
      <c r="A20" s="1" t="s">
        <v>13</v>
      </c>
      <c r="B20" s="1">
        <v>2331</v>
      </c>
      <c r="C20" s="1">
        <v>2847</v>
      </c>
      <c r="D20" s="1">
        <v>3202</v>
      </c>
      <c r="E20" s="1">
        <v>2867</v>
      </c>
      <c r="F20" s="1">
        <v>3063</v>
      </c>
      <c r="G20" s="1">
        <v>3070.29281</v>
      </c>
      <c r="H20" s="1">
        <v>3274.50419</v>
      </c>
      <c r="I20" s="1">
        <v>3395.93822</v>
      </c>
      <c r="J20" s="1">
        <v>3575.29157</v>
      </c>
      <c r="K20" s="1">
        <v>3181.17095</v>
      </c>
      <c r="L20" s="244">
        <f>(K20-J20)*100/J20</f>
        <v>-11.023453955672759</v>
      </c>
      <c r="M20" s="244">
        <f>(K20-AC20)*100/AC20</f>
        <v>38.43215622280244</v>
      </c>
      <c r="N20" s="14">
        <v>1010</v>
      </c>
      <c r="O20" s="14">
        <v>888</v>
      </c>
      <c r="P20" s="14">
        <v>799</v>
      </c>
      <c r="Q20" s="27">
        <v>1254</v>
      </c>
      <c r="R20" s="27">
        <v>1486</v>
      </c>
      <c r="S20" s="27">
        <v>1510</v>
      </c>
      <c r="T20" s="27">
        <v>1504</v>
      </c>
      <c r="U20" s="27">
        <v>1968</v>
      </c>
      <c r="V20" s="27">
        <f>1184.891+63.407</f>
        <v>1248.298</v>
      </c>
      <c r="W20" s="27">
        <f>1401.841+89.234</f>
        <v>1491.0749999999998</v>
      </c>
      <c r="X20" s="36">
        <f>1415.867+106.176</f>
        <v>1522.043</v>
      </c>
      <c r="Y20" s="14">
        <f>1485.162+103.747</f>
        <v>1588.909</v>
      </c>
      <c r="Z20" s="14">
        <v>1652</v>
      </c>
      <c r="AA20" s="80">
        <v>1969</v>
      </c>
      <c r="AB20" s="1">
        <v>2592</v>
      </c>
      <c r="AC20" s="1">
        <v>2298</v>
      </c>
      <c r="AD20" s="14"/>
      <c r="AE20" s="1">
        <v>2640537.82</v>
      </c>
      <c r="AF20" s="3">
        <v>0</v>
      </c>
      <c r="AG20" s="92">
        <v>226328.09</v>
      </c>
      <c r="AH20" s="3">
        <f>AE20-AF20+AG20</f>
        <v>2866865.9099999997</v>
      </c>
      <c r="AI20" s="3">
        <f>AH20/1000</f>
        <v>2866.8659099999995</v>
      </c>
      <c r="AK20" s="3">
        <v>2763119.79</v>
      </c>
      <c r="AL20" s="3">
        <v>0</v>
      </c>
      <c r="AM20" s="3">
        <v>300280.48</v>
      </c>
      <c r="AN20" s="3">
        <f>AK20-AL20+AM20</f>
        <v>3063400.27</v>
      </c>
      <c r="AO20" s="3">
        <f>AN20/1000</f>
        <v>3063.40027</v>
      </c>
      <c r="AQ20" s="3">
        <v>2866571.31</v>
      </c>
      <c r="AR20" s="3">
        <v>0</v>
      </c>
      <c r="AS20" s="3">
        <v>203721.5</v>
      </c>
      <c r="AT20" s="3">
        <f>AQ20-AR20+AS20</f>
        <v>3070292.81</v>
      </c>
      <c r="AU20" s="3">
        <f>AT20/1000</f>
        <v>3070.29281</v>
      </c>
      <c r="AW20" s="3">
        <v>3095297.33</v>
      </c>
      <c r="AX20" s="3">
        <v>0</v>
      </c>
      <c r="AY20" s="3">
        <v>179206.86</v>
      </c>
      <c r="AZ20" s="3">
        <f>AW20-AX20+AY20</f>
        <v>3274504.19</v>
      </c>
      <c r="BA20" s="3">
        <f>AZ20/1000</f>
        <v>3274.50419</v>
      </c>
      <c r="BC20" s="262">
        <v>3196669.56</v>
      </c>
      <c r="BD20" s="3">
        <v>0</v>
      </c>
      <c r="BE20" s="3">
        <v>199268.66</v>
      </c>
      <c r="BF20" s="3">
        <f>BC20-BD20+BE20</f>
        <v>3395938.22</v>
      </c>
      <c r="BG20" s="3">
        <f>BF20/1000</f>
        <v>3395.93822</v>
      </c>
      <c r="BI20" s="262">
        <v>3337872.5</v>
      </c>
      <c r="BJ20" s="3">
        <v>0</v>
      </c>
      <c r="BK20" s="3">
        <v>237419.07000000004</v>
      </c>
      <c r="BL20" s="3">
        <f>BI20-BJ20+BK20</f>
        <v>3575291.57</v>
      </c>
      <c r="BM20" s="3">
        <f>BL20/1000</f>
        <v>3575.29157</v>
      </c>
      <c r="BO20" s="262">
        <v>2780869.88</v>
      </c>
      <c r="BP20" s="3">
        <v>0</v>
      </c>
      <c r="BQ20" s="3">
        <v>400301.07000000007</v>
      </c>
      <c r="BR20" s="3">
        <f>BO20-BP20+BQ20</f>
        <v>3181170.95</v>
      </c>
      <c r="BS20" s="3">
        <f>BR20/1000</f>
        <v>3181.17095</v>
      </c>
    </row>
    <row r="21" spans="1:71" ht="12.75">
      <c r="A21" s="1" t="s">
        <v>14</v>
      </c>
      <c r="B21" s="1">
        <v>3844</v>
      </c>
      <c r="C21" s="1">
        <v>4872</v>
      </c>
      <c r="D21" s="1">
        <v>5452</v>
      </c>
      <c r="E21" s="1">
        <v>6121</v>
      </c>
      <c r="F21" s="1">
        <v>8360</v>
      </c>
      <c r="G21" s="1">
        <v>9063.051810000003</v>
      </c>
      <c r="H21" s="1">
        <v>10901.27656</v>
      </c>
      <c r="I21" s="1">
        <v>9760.437069999998</v>
      </c>
      <c r="J21" s="1">
        <v>7995.208949999999</v>
      </c>
      <c r="K21" s="1">
        <v>6802.199060000001</v>
      </c>
      <c r="L21" s="244">
        <f>(K21-J21)*100/J21</f>
        <v>-14.921559867425335</v>
      </c>
      <c r="M21" s="244">
        <f>(K21-AC21)*100/AC21</f>
        <v>52.07241359266713</v>
      </c>
      <c r="N21" s="14">
        <v>1018</v>
      </c>
      <c r="O21" s="14">
        <v>1280</v>
      </c>
      <c r="P21" s="14">
        <v>1817</v>
      </c>
      <c r="Q21" s="27">
        <v>1867</v>
      </c>
      <c r="R21" s="27">
        <v>1859</v>
      </c>
      <c r="S21" s="27">
        <v>2179</v>
      </c>
      <c r="T21" s="27">
        <v>2045</v>
      </c>
      <c r="U21" s="27">
        <v>1791</v>
      </c>
      <c r="V21" s="27">
        <f>2094.013+65.518</f>
        <v>2159.531</v>
      </c>
      <c r="W21" s="27">
        <f>1867.932+126.749</f>
        <v>1994.681</v>
      </c>
      <c r="X21" s="36">
        <f>1920.384+61.494</f>
        <v>1981.878</v>
      </c>
      <c r="Y21" s="14">
        <f>2046.87+56.289</f>
        <v>2103.159</v>
      </c>
      <c r="Z21" s="14">
        <v>3349</v>
      </c>
      <c r="AA21" s="80">
        <v>2812</v>
      </c>
      <c r="AB21" s="1">
        <v>3241</v>
      </c>
      <c r="AC21" s="1">
        <v>4473</v>
      </c>
      <c r="AD21" s="14"/>
      <c r="AE21" s="1">
        <v>5893332</v>
      </c>
      <c r="AF21" s="3">
        <v>53727.33</v>
      </c>
      <c r="AG21" s="92">
        <v>281348.93</v>
      </c>
      <c r="AH21" s="3">
        <f>AE21-AF21+AG21</f>
        <v>6120953.6</v>
      </c>
      <c r="AI21" s="3">
        <f>AH21/1000</f>
        <v>6120.9536</v>
      </c>
      <c r="AK21" s="3">
        <v>8112400</v>
      </c>
      <c r="AL21" s="3">
        <v>69240.87</v>
      </c>
      <c r="AM21" s="3">
        <v>316833</v>
      </c>
      <c r="AN21" s="3">
        <f>AK21-AL21+AM21</f>
        <v>8359992.13</v>
      </c>
      <c r="AO21" s="3">
        <f>AN21/1000</f>
        <v>8359.99213</v>
      </c>
      <c r="AQ21" s="3">
        <v>8851957.230000002</v>
      </c>
      <c r="AR21" s="3">
        <v>61667.07</v>
      </c>
      <c r="AS21" s="3">
        <v>272761.65</v>
      </c>
      <c r="AT21" s="3">
        <f>AQ21-AR21+AS21</f>
        <v>9063051.810000002</v>
      </c>
      <c r="AU21" s="3">
        <f>AT21/1000</f>
        <v>9063.051810000003</v>
      </c>
      <c r="AW21" s="3">
        <v>10674897.53</v>
      </c>
      <c r="AX21" s="3">
        <v>68738.69</v>
      </c>
      <c r="AY21" s="3">
        <v>295117.72</v>
      </c>
      <c r="AZ21" s="3">
        <f>AW21-AX21+AY21</f>
        <v>10901276.56</v>
      </c>
      <c r="BA21" s="3">
        <f>AZ21/1000</f>
        <v>10901.27656</v>
      </c>
      <c r="BC21" s="262">
        <v>9459957.209999999</v>
      </c>
      <c r="BD21" s="3">
        <v>46471.23</v>
      </c>
      <c r="BE21" s="3">
        <v>346951.09</v>
      </c>
      <c r="BF21" s="3">
        <f>BC21-BD21+BE21</f>
        <v>9760437.069999998</v>
      </c>
      <c r="BG21" s="3">
        <f>BF21/1000</f>
        <v>9760.437069999998</v>
      </c>
      <c r="BI21" s="262">
        <v>7676044.419999999</v>
      </c>
      <c r="BJ21" s="3">
        <v>52921.18</v>
      </c>
      <c r="BK21" s="3">
        <v>372085.7100000001</v>
      </c>
      <c r="BL21" s="3">
        <f>BI21-BJ21+BK21</f>
        <v>7995208.949999999</v>
      </c>
      <c r="BM21" s="3">
        <f>BL21/1000</f>
        <v>7995.208949999999</v>
      </c>
      <c r="BO21" s="262">
        <v>6161337.240000001</v>
      </c>
      <c r="BP21" s="3">
        <v>43273.979999999996</v>
      </c>
      <c r="BQ21" s="3">
        <v>684135.8</v>
      </c>
      <c r="BR21" s="3">
        <f>BO21-BP21+BQ21</f>
        <v>6802199.0600000005</v>
      </c>
      <c r="BS21" s="3">
        <f>BR21/1000</f>
        <v>6802.199060000001</v>
      </c>
    </row>
    <row r="22" spans="1:71" ht="12.75">
      <c r="A22" s="1" t="s">
        <v>15</v>
      </c>
      <c r="B22" s="1">
        <v>869</v>
      </c>
      <c r="C22" s="1">
        <v>762</v>
      </c>
      <c r="D22" s="1">
        <v>1113</v>
      </c>
      <c r="E22" s="1">
        <v>1448</v>
      </c>
      <c r="F22" s="1">
        <v>1454</v>
      </c>
      <c r="G22" s="1">
        <v>1316.1938</v>
      </c>
      <c r="H22" s="1">
        <v>1647.9083600000001</v>
      </c>
      <c r="I22" s="1">
        <v>1633.78992</v>
      </c>
      <c r="J22" s="1">
        <v>1285.5540399999998</v>
      </c>
      <c r="K22" s="1">
        <v>1382.1461600000002</v>
      </c>
      <c r="L22" s="244">
        <f>(K22-J22)*100/J22</f>
        <v>7.513656913248119</v>
      </c>
      <c r="M22" s="244">
        <f>(K22-AC22)*100/AC22</f>
        <v>45.33608412197689</v>
      </c>
      <c r="N22" s="14">
        <v>384</v>
      </c>
      <c r="O22" s="14">
        <v>348</v>
      </c>
      <c r="P22" s="14">
        <v>364</v>
      </c>
      <c r="Q22" s="27">
        <v>382</v>
      </c>
      <c r="R22" s="27">
        <v>423</v>
      </c>
      <c r="S22" s="27">
        <v>449</v>
      </c>
      <c r="T22" s="27">
        <v>536</v>
      </c>
      <c r="U22" s="27">
        <v>456</v>
      </c>
      <c r="V22" s="27">
        <f>489.899+34.139</f>
        <v>524.038</v>
      </c>
      <c r="W22" s="27">
        <f>620.312+44.517</f>
        <v>664.8290000000001</v>
      </c>
      <c r="X22" s="36">
        <f>674.24+45.444</f>
        <v>719.684</v>
      </c>
      <c r="Y22" s="14">
        <f>652.659+39.758</f>
        <v>692.417</v>
      </c>
      <c r="Z22" s="14">
        <v>754</v>
      </c>
      <c r="AA22" s="80">
        <v>944</v>
      </c>
      <c r="AB22" s="1">
        <v>779</v>
      </c>
      <c r="AC22" s="1">
        <v>951</v>
      </c>
      <c r="AD22" s="14"/>
      <c r="AE22" s="1">
        <v>1410842.82</v>
      </c>
      <c r="AF22" s="3">
        <v>26064.88</v>
      </c>
      <c r="AG22" s="92">
        <v>62892.97</v>
      </c>
      <c r="AH22" s="3">
        <f>AE22-AF22+AG22</f>
        <v>1447670.9100000001</v>
      </c>
      <c r="AI22" s="3">
        <f>AH22/1000</f>
        <v>1447.67091</v>
      </c>
      <c r="AK22" s="3">
        <v>1430998.93</v>
      </c>
      <c r="AL22" s="3">
        <v>19543.35</v>
      </c>
      <c r="AM22" s="3">
        <v>42795.73</v>
      </c>
      <c r="AN22" s="3">
        <f>AK22-AL22+AM22</f>
        <v>1454251.3099999998</v>
      </c>
      <c r="AO22" s="3">
        <f>AN22/1000</f>
        <v>1454.2513099999999</v>
      </c>
      <c r="AQ22" s="3">
        <v>1263764.71</v>
      </c>
      <c r="AR22" s="3">
        <v>23512.43</v>
      </c>
      <c r="AS22" s="3">
        <v>75941.52</v>
      </c>
      <c r="AT22" s="3">
        <f>AQ22-AR22+AS22</f>
        <v>1316193.8</v>
      </c>
      <c r="AU22" s="3">
        <f>AT22/1000</f>
        <v>1316.1938</v>
      </c>
      <c r="AW22" s="3">
        <v>1512075.19</v>
      </c>
      <c r="AX22" s="3">
        <v>25122.9</v>
      </c>
      <c r="AY22" s="3">
        <v>160956.07</v>
      </c>
      <c r="AZ22" s="3">
        <f>AW22-AX22+AY22</f>
        <v>1647908.36</v>
      </c>
      <c r="BA22" s="3">
        <f>AZ22/1000</f>
        <v>1647.9083600000001</v>
      </c>
      <c r="BC22" s="262">
        <v>1493507.13</v>
      </c>
      <c r="BD22" s="3">
        <v>11919.31</v>
      </c>
      <c r="BE22" s="3">
        <v>152202.1</v>
      </c>
      <c r="BF22" s="3">
        <f>BC22-BD22+BE22</f>
        <v>1633789.92</v>
      </c>
      <c r="BG22" s="3">
        <f>BF22/1000</f>
        <v>1633.78992</v>
      </c>
      <c r="BI22" s="262">
        <v>1186393.71</v>
      </c>
      <c r="BJ22" s="3">
        <v>770.33</v>
      </c>
      <c r="BK22" s="3">
        <v>99930.66</v>
      </c>
      <c r="BL22" s="3">
        <f>BI22-BJ22+BK22</f>
        <v>1285554.0399999998</v>
      </c>
      <c r="BM22" s="3">
        <f>BL22/1000</f>
        <v>1285.5540399999998</v>
      </c>
      <c r="BO22" s="262">
        <v>1075916.54</v>
      </c>
      <c r="BP22" s="3">
        <v>75</v>
      </c>
      <c r="BQ22" s="3">
        <v>306304.62000000005</v>
      </c>
      <c r="BR22" s="3">
        <f>BO22-BP22+BQ22</f>
        <v>1382146.1600000001</v>
      </c>
      <c r="BS22" s="3">
        <f>BR22/1000</f>
        <v>1382.1461600000002</v>
      </c>
    </row>
    <row r="23" spans="12:67" ht="12.75">
      <c r="L23" s="244"/>
      <c r="M23" s="244"/>
      <c r="N23" s="14"/>
      <c r="P23" s="14"/>
      <c r="Q23" s="27"/>
      <c r="R23" s="27"/>
      <c r="S23" s="27"/>
      <c r="T23" s="27"/>
      <c r="U23" s="27"/>
      <c r="V23" s="27"/>
      <c r="W23" s="27"/>
      <c r="X23" s="36"/>
      <c r="Y23" s="14"/>
      <c r="Z23" s="14"/>
      <c r="AA23" s="80"/>
      <c r="AD23" s="14"/>
      <c r="AE23" s="1"/>
      <c r="AG23" s="92"/>
      <c r="BC23" s="262"/>
      <c r="BI23" s="262"/>
      <c r="BO23" s="262"/>
    </row>
    <row r="24" spans="1:71" ht="12.75">
      <c r="A24" s="1" t="s">
        <v>16</v>
      </c>
      <c r="B24" s="1">
        <v>5323</v>
      </c>
      <c r="C24" s="1">
        <v>7154</v>
      </c>
      <c r="D24" s="1">
        <v>6842</v>
      </c>
      <c r="E24" s="1">
        <v>10040</v>
      </c>
      <c r="F24" s="1">
        <v>7585</v>
      </c>
      <c r="G24" s="1">
        <v>10272.426720000001</v>
      </c>
      <c r="H24" s="1">
        <v>10850.015940000003</v>
      </c>
      <c r="I24" s="1">
        <v>11688.067780000001</v>
      </c>
      <c r="J24" s="1">
        <v>10608.577519999997</v>
      </c>
      <c r="K24" s="1">
        <v>11699.430289999998</v>
      </c>
      <c r="L24" s="244">
        <f>(K24-J24)*100/J24</f>
        <v>10.282743072230495</v>
      </c>
      <c r="M24" s="244">
        <f>(K24-AC24)*100/AC24</f>
        <v>146.26594839108935</v>
      </c>
      <c r="N24" s="14">
        <v>1932</v>
      </c>
      <c r="O24" s="14">
        <v>1853</v>
      </c>
      <c r="P24" s="14">
        <v>2081</v>
      </c>
      <c r="Q24" s="27">
        <v>2423</v>
      </c>
      <c r="R24" s="27">
        <v>2953</v>
      </c>
      <c r="S24" s="27">
        <v>3156</v>
      </c>
      <c r="T24" s="27">
        <v>3386</v>
      </c>
      <c r="U24" s="27">
        <v>3194</v>
      </c>
      <c r="V24" s="27">
        <f>3040.017+188.168</f>
        <v>3228.185</v>
      </c>
      <c r="W24" s="27">
        <f>2936.017+186.746</f>
        <v>3122.763</v>
      </c>
      <c r="X24" s="36">
        <f>3291.797+193.647</f>
        <v>3485.444</v>
      </c>
      <c r="Y24" s="14">
        <f>3780.892+203.581</f>
        <v>3984.473</v>
      </c>
      <c r="Z24" s="14">
        <v>4153</v>
      </c>
      <c r="AA24" s="80">
        <v>5019</v>
      </c>
      <c r="AB24" s="1">
        <v>5693</v>
      </c>
      <c r="AC24" s="1">
        <v>4750.73</v>
      </c>
      <c r="AD24" s="14"/>
      <c r="AE24" s="1">
        <v>9619372</v>
      </c>
      <c r="AF24" s="3">
        <v>76834.72</v>
      </c>
      <c r="AG24" s="92">
        <v>497021.95</v>
      </c>
      <c r="AH24" s="3">
        <f>AE24-AF24+AG24</f>
        <v>10039559.229999999</v>
      </c>
      <c r="AI24" s="3">
        <f>AH24/1000</f>
        <v>10039.559229999999</v>
      </c>
      <c r="AK24" s="3">
        <v>7127790</v>
      </c>
      <c r="AL24" s="3">
        <v>57966.42</v>
      </c>
      <c r="AM24" s="3">
        <v>515518.15</v>
      </c>
      <c r="AN24" s="3">
        <f>AK24-AL24+AM24</f>
        <v>7585341.73</v>
      </c>
      <c r="AO24" s="3">
        <f>AN24/1000</f>
        <v>7585.34173</v>
      </c>
      <c r="AQ24" s="3">
        <v>9747799.020000001</v>
      </c>
      <c r="AR24" s="3">
        <v>67454.38</v>
      </c>
      <c r="AS24" s="3">
        <v>592082.08</v>
      </c>
      <c r="AT24" s="3">
        <f>AQ24-AR24+AS24</f>
        <v>10272426.72</v>
      </c>
      <c r="AU24" s="3">
        <f>AT24/1000</f>
        <v>10272.426720000001</v>
      </c>
      <c r="AW24" s="3">
        <v>10372680.590000004</v>
      </c>
      <c r="AX24" s="3">
        <v>44578.66</v>
      </c>
      <c r="AY24" s="3">
        <v>521914.01</v>
      </c>
      <c r="AZ24" s="3">
        <f>AW24-AX24+AY24</f>
        <v>10850015.940000003</v>
      </c>
      <c r="BA24" s="3">
        <f>AZ24/1000</f>
        <v>10850.015940000003</v>
      </c>
      <c r="BC24" s="262">
        <v>11204535.120000001</v>
      </c>
      <c r="BD24" s="3">
        <v>48020.51</v>
      </c>
      <c r="BE24" s="3">
        <v>531553.17</v>
      </c>
      <c r="BF24" s="3">
        <f>BC24-BD24+BE24</f>
        <v>11688067.780000001</v>
      </c>
      <c r="BG24" s="3">
        <f>BF24/1000</f>
        <v>11688.067780000001</v>
      </c>
      <c r="BI24" s="262">
        <v>10136559.579999998</v>
      </c>
      <c r="BJ24" s="3">
        <v>106425.31999999999</v>
      </c>
      <c r="BK24" s="3">
        <v>578443.26</v>
      </c>
      <c r="BL24" s="3">
        <f>BI24-BJ24+BK24</f>
        <v>10608577.519999998</v>
      </c>
      <c r="BM24" s="3">
        <f>BL24/1000</f>
        <v>10608.577519999997</v>
      </c>
      <c r="BO24" s="262">
        <v>10153576.93</v>
      </c>
      <c r="BP24" s="3">
        <v>92955.74999999999</v>
      </c>
      <c r="BQ24" s="3">
        <v>1638809.11</v>
      </c>
      <c r="BR24" s="3">
        <f>BO24-BP24+BQ24</f>
        <v>11699430.29</v>
      </c>
      <c r="BS24" s="3">
        <f>BR24/1000</f>
        <v>11699.430289999998</v>
      </c>
    </row>
    <row r="25" spans="1:71" ht="12.75">
      <c r="A25" s="1" t="s">
        <v>17</v>
      </c>
      <c r="B25" s="1">
        <v>1032</v>
      </c>
      <c r="C25" s="1">
        <v>1198</v>
      </c>
      <c r="D25" s="1">
        <v>1102</v>
      </c>
      <c r="E25" s="1">
        <v>1140</v>
      </c>
      <c r="F25" s="1">
        <v>928</v>
      </c>
      <c r="G25" s="1">
        <v>1066.64318</v>
      </c>
      <c r="H25" s="1">
        <v>1168.02242</v>
      </c>
      <c r="I25" s="1">
        <v>1440.1010999999999</v>
      </c>
      <c r="J25" s="1">
        <v>860.3807800000001</v>
      </c>
      <c r="K25" s="1">
        <v>800.0282799999999</v>
      </c>
      <c r="L25" s="244">
        <f>(K25-J25)*100/J25</f>
        <v>-7.014626709815645</v>
      </c>
      <c r="M25" s="244">
        <f>(K25-AC25)*100/AC25</f>
        <v>-17.686635868838298</v>
      </c>
      <c r="N25" s="14">
        <v>333</v>
      </c>
      <c r="O25" s="14">
        <v>350</v>
      </c>
      <c r="P25" s="14">
        <v>425</v>
      </c>
      <c r="Q25" s="27">
        <v>439</v>
      </c>
      <c r="R25" s="27">
        <v>511</v>
      </c>
      <c r="S25" s="27">
        <v>557</v>
      </c>
      <c r="T25" s="27">
        <v>340</v>
      </c>
      <c r="U25" s="27">
        <v>548</v>
      </c>
      <c r="V25" s="27">
        <f>583.549+15.356</f>
        <v>598.905</v>
      </c>
      <c r="W25" s="27">
        <f>563.146+16.911</f>
        <v>580.057</v>
      </c>
      <c r="X25" s="36">
        <f>514.444+23.662</f>
        <v>538.106</v>
      </c>
      <c r="Y25" s="14">
        <f>445.3+17.207</f>
        <v>462.507</v>
      </c>
      <c r="Z25" s="14">
        <v>606</v>
      </c>
      <c r="AA25" s="80">
        <v>648</v>
      </c>
      <c r="AB25" s="1">
        <v>870</v>
      </c>
      <c r="AC25" s="1">
        <v>971.93</v>
      </c>
      <c r="AD25" s="14"/>
      <c r="AE25" s="1">
        <v>1072713.33</v>
      </c>
      <c r="AF25" s="3">
        <v>0</v>
      </c>
      <c r="AG25" s="92">
        <v>67404.79</v>
      </c>
      <c r="AH25" s="3">
        <f>AE25-AF25+AG25</f>
        <v>1140118.12</v>
      </c>
      <c r="AI25" s="3">
        <f>AH25/1000</f>
        <v>1140.11812</v>
      </c>
      <c r="AK25" s="3">
        <v>883309.31</v>
      </c>
      <c r="AL25" s="3">
        <v>0</v>
      </c>
      <c r="AM25" s="3">
        <v>44384.34</v>
      </c>
      <c r="AN25" s="3">
        <f>AK25-AL25+AM25</f>
        <v>927693.65</v>
      </c>
      <c r="AO25" s="3">
        <f>AN25/1000</f>
        <v>927.69365</v>
      </c>
      <c r="AQ25" s="3">
        <v>1010812.69</v>
      </c>
      <c r="AR25" s="3">
        <v>0</v>
      </c>
      <c r="AS25" s="3">
        <v>55830.49</v>
      </c>
      <c r="AT25" s="3">
        <f>AQ25-AR25+AS25</f>
        <v>1066643.18</v>
      </c>
      <c r="AU25" s="3">
        <f>AT25/1000</f>
        <v>1066.64318</v>
      </c>
      <c r="AW25" s="3">
        <v>1120845.44</v>
      </c>
      <c r="AX25" s="3">
        <v>0</v>
      </c>
      <c r="AY25" s="3">
        <v>47176.98</v>
      </c>
      <c r="AZ25" s="3">
        <f>AW25-AX25+AY25</f>
        <v>1168022.42</v>
      </c>
      <c r="BA25" s="3">
        <f>AZ25/1000</f>
        <v>1168.02242</v>
      </c>
      <c r="BC25" s="262">
        <v>1390433.64</v>
      </c>
      <c r="BD25" s="3">
        <v>0</v>
      </c>
      <c r="BE25" s="3">
        <v>49667.46</v>
      </c>
      <c r="BF25" s="3">
        <f>BC25-BD25+BE25</f>
        <v>1440101.0999999999</v>
      </c>
      <c r="BG25" s="3">
        <f>BF25/1000</f>
        <v>1440.1010999999999</v>
      </c>
      <c r="BI25" s="262">
        <v>739818.64</v>
      </c>
      <c r="BJ25" s="3">
        <v>0</v>
      </c>
      <c r="BK25" s="3">
        <v>120562.14</v>
      </c>
      <c r="BL25" s="3">
        <f>BI25-BJ25+BK25</f>
        <v>860380.78</v>
      </c>
      <c r="BM25" s="3">
        <f>BL25/1000</f>
        <v>860.3807800000001</v>
      </c>
      <c r="BO25" s="262">
        <v>724539.07</v>
      </c>
      <c r="BP25" s="3">
        <v>0</v>
      </c>
      <c r="BQ25" s="3">
        <v>75489.21</v>
      </c>
      <c r="BR25" s="3">
        <f>BO25-BP25+BQ25</f>
        <v>800028.2799999999</v>
      </c>
      <c r="BS25" s="3">
        <f>BR25/1000</f>
        <v>800.0282799999999</v>
      </c>
    </row>
    <row r="26" spans="1:71" ht="12.75">
      <c r="A26" s="1" t="s">
        <v>18</v>
      </c>
      <c r="B26" s="1">
        <v>5773</v>
      </c>
      <c r="C26" s="1">
        <v>6699</v>
      </c>
      <c r="D26" s="1">
        <v>7316</v>
      </c>
      <c r="E26" s="1">
        <v>7109</v>
      </c>
      <c r="F26" s="1">
        <v>6957</v>
      </c>
      <c r="G26" s="1">
        <v>9738.85589</v>
      </c>
      <c r="H26" s="1">
        <v>11324.30936</v>
      </c>
      <c r="I26" s="1">
        <v>10673.90067</v>
      </c>
      <c r="J26" s="1">
        <v>9220.334979999998</v>
      </c>
      <c r="K26" s="1">
        <v>9585.41461</v>
      </c>
      <c r="L26" s="244">
        <f>(K26-J26)*100/J26</f>
        <v>3.9595050591101417</v>
      </c>
      <c r="M26" s="244">
        <f>(K26-AC26)*100/AC26</f>
        <v>81.88642523719166</v>
      </c>
      <c r="N26" s="14">
        <v>2338</v>
      </c>
      <c r="O26" s="14">
        <v>2378</v>
      </c>
      <c r="P26" s="14">
        <v>2492</v>
      </c>
      <c r="Q26" s="27">
        <v>2639</v>
      </c>
      <c r="R26" s="27">
        <v>3106</v>
      </c>
      <c r="S26" s="27">
        <v>3541</v>
      </c>
      <c r="T26" s="27">
        <v>3833</v>
      </c>
      <c r="U26" s="27">
        <v>4372</v>
      </c>
      <c r="V26" s="27">
        <f>4882.398+139.684</f>
        <v>5022.082</v>
      </c>
      <c r="W26" s="27">
        <f>5718.579+230.947</f>
        <v>5949.526</v>
      </c>
      <c r="X26" s="36">
        <f>5941.856+187.617</f>
        <v>6129.473</v>
      </c>
      <c r="Y26" s="14">
        <f>6052.769+190.654</f>
        <v>6243.423000000001</v>
      </c>
      <c r="Z26" s="14">
        <v>6217</v>
      </c>
      <c r="AA26" s="80">
        <v>6212</v>
      </c>
      <c r="AB26" s="1">
        <v>6103</v>
      </c>
      <c r="AC26" s="1">
        <v>5270</v>
      </c>
      <c r="AD26" s="14"/>
      <c r="AE26" s="1">
        <v>6878110</v>
      </c>
      <c r="AF26" s="3">
        <v>0</v>
      </c>
      <c r="AG26" s="92">
        <v>230711.15</v>
      </c>
      <c r="AH26" s="3">
        <f>AE26-AF26+AG26</f>
        <v>7108821.15</v>
      </c>
      <c r="AI26" s="3">
        <f>AH26/1000</f>
        <v>7108.821150000001</v>
      </c>
      <c r="AK26" s="3">
        <v>6590470</v>
      </c>
      <c r="AL26" s="3">
        <v>0</v>
      </c>
      <c r="AM26" s="3">
        <v>366844.76</v>
      </c>
      <c r="AN26" s="3">
        <f>AK26-AL26+AM26</f>
        <v>6957314.76</v>
      </c>
      <c r="AO26" s="3">
        <f>AN26/1000</f>
        <v>6957.31476</v>
      </c>
      <c r="AQ26" s="3">
        <v>9223712.14</v>
      </c>
      <c r="AR26" s="3">
        <v>0</v>
      </c>
      <c r="AS26" s="3">
        <v>515143.75</v>
      </c>
      <c r="AT26" s="3">
        <f>AQ26-AR26+AS26</f>
        <v>9738855.89</v>
      </c>
      <c r="AU26" s="3">
        <f>AT26/1000</f>
        <v>9738.85589</v>
      </c>
      <c r="AW26" s="3">
        <v>10749755.84</v>
      </c>
      <c r="AX26" s="3">
        <v>0</v>
      </c>
      <c r="AY26" s="3">
        <v>574553.52</v>
      </c>
      <c r="AZ26" s="3">
        <f>AW26-AX26+AY26</f>
        <v>11324309.36</v>
      </c>
      <c r="BA26" s="3">
        <f>AZ26/1000</f>
        <v>11324.30936</v>
      </c>
      <c r="BC26" s="262">
        <v>10245351.71</v>
      </c>
      <c r="BD26" s="3">
        <v>0</v>
      </c>
      <c r="BE26" s="3">
        <v>428548.96</v>
      </c>
      <c r="BF26" s="3">
        <f>BC26-BD26+BE26</f>
        <v>10673900.670000002</v>
      </c>
      <c r="BG26" s="3">
        <f>BF26/1000</f>
        <v>10673.90067</v>
      </c>
      <c r="BI26" s="262">
        <v>8825846.12</v>
      </c>
      <c r="BJ26" s="3">
        <v>0</v>
      </c>
      <c r="BK26" s="3">
        <v>394488.8599999999</v>
      </c>
      <c r="BL26" s="3">
        <f>BI26-BJ26+BK26</f>
        <v>9220334.979999999</v>
      </c>
      <c r="BM26" s="3">
        <f>BL26/1000</f>
        <v>9220.334979999998</v>
      </c>
      <c r="BO26" s="262">
        <v>8192386.9399999995</v>
      </c>
      <c r="BP26" s="3">
        <v>0</v>
      </c>
      <c r="BQ26" s="3">
        <v>1393027.6699999995</v>
      </c>
      <c r="BR26" s="3">
        <f>BO26-BP26+BQ26</f>
        <v>9585414.61</v>
      </c>
      <c r="BS26" s="3">
        <f>BR26/1000</f>
        <v>9585.41461</v>
      </c>
    </row>
    <row r="27" spans="1:71" ht="12.75">
      <c r="A27" s="1" t="s">
        <v>19</v>
      </c>
      <c r="B27" s="1">
        <v>10094</v>
      </c>
      <c r="C27" s="1">
        <v>8985</v>
      </c>
      <c r="D27" s="1">
        <v>10793</v>
      </c>
      <c r="E27" s="1">
        <v>11600</v>
      </c>
      <c r="F27" s="1">
        <v>10664</v>
      </c>
      <c r="G27" s="1">
        <v>12965.42389</v>
      </c>
      <c r="H27" s="1">
        <v>10258.912269999999</v>
      </c>
      <c r="I27" s="1">
        <v>14449.1222</v>
      </c>
      <c r="J27" s="1">
        <v>13975.30406</v>
      </c>
      <c r="K27" s="1">
        <v>14405.1457</v>
      </c>
      <c r="L27" s="244">
        <f>(K27-J27)*100/J27</f>
        <v>3.075722990745424</v>
      </c>
      <c r="M27" s="244">
        <f>(K27-AC27)*100/AC27</f>
        <v>91.710749268033</v>
      </c>
      <c r="N27" s="14">
        <v>3153</v>
      </c>
      <c r="O27" s="14">
        <v>3036</v>
      </c>
      <c r="P27" s="14">
        <v>3273</v>
      </c>
      <c r="Q27" s="27">
        <v>3805</v>
      </c>
      <c r="R27" s="27">
        <v>4461</v>
      </c>
      <c r="S27" s="27">
        <v>5180</v>
      </c>
      <c r="T27" s="27">
        <v>6017</v>
      </c>
      <c r="U27" s="27">
        <v>5306</v>
      </c>
      <c r="V27" s="27">
        <f>4951.315+194.165</f>
        <v>5145.48</v>
      </c>
      <c r="W27" s="27">
        <f>5255.808+146.452</f>
        <v>5402.26</v>
      </c>
      <c r="X27" s="36">
        <f>5144.574+189.844</f>
        <v>5334.418</v>
      </c>
      <c r="Y27" s="14">
        <f>6207.545+204.119</f>
        <v>6411.664</v>
      </c>
      <c r="Z27" s="14">
        <v>6427</v>
      </c>
      <c r="AA27" s="80">
        <v>5743</v>
      </c>
      <c r="AB27" s="1">
        <v>7516</v>
      </c>
      <c r="AC27" s="1">
        <v>7514</v>
      </c>
      <c r="AD27" s="14"/>
      <c r="AE27" s="1">
        <v>10731389</v>
      </c>
      <c r="AF27" s="3">
        <v>0</v>
      </c>
      <c r="AG27" s="92">
        <v>868446.6</v>
      </c>
      <c r="AH27" s="3">
        <f>AE27-AF27+AG27</f>
        <v>11599835.6</v>
      </c>
      <c r="AI27" s="3">
        <f>AH27/1000</f>
        <v>11599.8356</v>
      </c>
      <c r="AK27" s="3">
        <v>9096260</v>
      </c>
      <c r="AL27" s="3">
        <v>0</v>
      </c>
      <c r="AM27" s="3">
        <v>1567626.36</v>
      </c>
      <c r="AN27" s="3">
        <f>AK27-AL27+AM27</f>
        <v>10663886.36</v>
      </c>
      <c r="AO27" s="3">
        <f>AN27/1000</f>
        <v>10663.886359999999</v>
      </c>
      <c r="AQ27" s="3">
        <v>11583124.73</v>
      </c>
      <c r="AR27" s="3">
        <v>0</v>
      </c>
      <c r="AS27" s="3">
        <v>1382299.16</v>
      </c>
      <c r="AT27" s="3">
        <f>AQ27-AR27+AS27</f>
        <v>12965423.89</v>
      </c>
      <c r="AU27" s="3">
        <f>AT27/1000</f>
        <v>12965.42389</v>
      </c>
      <c r="AW27" s="3">
        <v>8979454.26</v>
      </c>
      <c r="AX27" s="3">
        <v>0</v>
      </c>
      <c r="AY27" s="3">
        <v>1279458.01</v>
      </c>
      <c r="AZ27" s="3">
        <f>AW27-AX27+AY27</f>
        <v>10258912.27</v>
      </c>
      <c r="BA27" s="3">
        <f>AZ27/1000</f>
        <v>10258.912269999999</v>
      </c>
      <c r="BC27" s="262">
        <v>13034183.82</v>
      </c>
      <c r="BD27" s="3">
        <v>0</v>
      </c>
      <c r="BE27" s="3">
        <v>1414938.38</v>
      </c>
      <c r="BF27" s="3">
        <f>BC27-BD27+BE27</f>
        <v>14449122.2</v>
      </c>
      <c r="BG27" s="3">
        <f>BF27/1000</f>
        <v>14449.1222</v>
      </c>
      <c r="BI27" s="262">
        <v>13307571.790000001</v>
      </c>
      <c r="BJ27" s="3">
        <v>0</v>
      </c>
      <c r="BK27" s="3">
        <v>667732.27</v>
      </c>
      <c r="BL27" s="3">
        <f>BI27-BJ27+BK27</f>
        <v>13975304.06</v>
      </c>
      <c r="BM27" s="3">
        <f>BL27/1000</f>
        <v>13975.30406</v>
      </c>
      <c r="BO27" s="262">
        <v>13180841.02</v>
      </c>
      <c r="BP27" s="3">
        <v>0</v>
      </c>
      <c r="BQ27" s="3">
        <v>1224304.6800000002</v>
      </c>
      <c r="BR27" s="3">
        <f>BO27-BP27+BQ27</f>
        <v>14405145.7</v>
      </c>
      <c r="BS27" s="3">
        <f>BR27/1000</f>
        <v>14405.1457</v>
      </c>
    </row>
    <row r="28" spans="1:71" ht="12.75">
      <c r="A28" s="1" t="s">
        <v>20</v>
      </c>
      <c r="B28" s="1">
        <v>721</v>
      </c>
      <c r="C28" s="1">
        <v>630</v>
      </c>
      <c r="D28" s="1">
        <v>524</v>
      </c>
      <c r="E28" s="1">
        <v>456</v>
      </c>
      <c r="F28" s="1">
        <v>541</v>
      </c>
      <c r="G28" s="1">
        <v>615.62278</v>
      </c>
      <c r="H28" s="1">
        <v>719.50615</v>
      </c>
      <c r="I28" s="1">
        <v>538.2454</v>
      </c>
      <c r="J28" s="1">
        <v>716.6884399999999</v>
      </c>
      <c r="K28" s="1">
        <v>789.55909</v>
      </c>
      <c r="L28" s="244">
        <f>(K28-J28)*100/J28</f>
        <v>10.167688765846437</v>
      </c>
      <c r="M28" s="244">
        <f>(K28-AC28)*100/AC28</f>
        <v>40.24140142095914</v>
      </c>
      <c r="N28" s="14">
        <v>225</v>
      </c>
      <c r="O28" s="14">
        <v>212</v>
      </c>
      <c r="P28" s="27">
        <v>223</v>
      </c>
      <c r="Q28" s="27">
        <v>229</v>
      </c>
      <c r="R28" s="27">
        <v>274</v>
      </c>
      <c r="S28" s="27">
        <v>305</v>
      </c>
      <c r="T28" s="27">
        <v>301</v>
      </c>
      <c r="U28" s="27">
        <v>295</v>
      </c>
      <c r="V28" s="27">
        <f>283.888+29.713</f>
        <v>313.601</v>
      </c>
      <c r="W28" s="27">
        <f>364.049+24.906</f>
        <v>388.955</v>
      </c>
      <c r="X28" s="36">
        <f>383.057+24.943</f>
        <v>408</v>
      </c>
      <c r="Y28" s="14">
        <f>364.405+24.941</f>
        <v>389.34599999999995</v>
      </c>
      <c r="Z28" s="14">
        <v>395</v>
      </c>
      <c r="AA28" s="80">
        <v>430</v>
      </c>
      <c r="AB28" s="1">
        <v>549</v>
      </c>
      <c r="AC28" s="1">
        <v>563</v>
      </c>
      <c r="AD28" s="14"/>
      <c r="AE28" s="1">
        <v>435689.69</v>
      </c>
      <c r="AF28" s="3">
        <v>14017.38</v>
      </c>
      <c r="AG28" s="92">
        <v>34542.11</v>
      </c>
      <c r="AH28" s="3">
        <f>AE28-AF28+AG28</f>
        <v>456214.42</v>
      </c>
      <c r="AI28" s="3">
        <f>AH28/1000</f>
        <v>456.21441999999996</v>
      </c>
      <c r="AK28" s="3">
        <v>521675.6</v>
      </c>
      <c r="AL28" s="3">
        <v>8668.14</v>
      </c>
      <c r="AM28" s="3">
        <v>28420.31</v>
      </c>
      <c r="AN28" s="3">
        <f>AK28-AL28+AM28</f>
        <v>541427.77</v>
      </c>
      <c r="AO28" s="3">
        <f>AN28/1000</f>
        <v>541.42777</v>
      </c>
      <c r="AQ28" s="3">
        <v>612528.14</v>
      </c>
      <c r="AR28" s="3">
        <v>21168.12</v>
      </c>
      <c r="AS28" s="3">
        <v>24262.76</v>
      </c>
      <c r="AT28" s="3">
        <f>AQ28-AR28+AS28</f>
        <v>615622.78</v>
      </c>
      <c r="AU28" s="3">
        <f>AT28/1000</f>
        <v>615.62278</v>
      </c>
      <c r="AW28" s="3">
        <v>710831.34</v>
      </c>
      <c r="AX28" s="3">
        <v>11453.82</v>
      </c>
      <c r="AY28" s="3">
        <v>20128.63</v>
      </c>
      <c r="AZ28" s="3">
        <f>AW28-AX28+AY28</f>
        <v>719506.15</v>
      </c>
      <c r="BA28" s="3">
        <f>AZ28/1000</f>
        <v>719.50615</v>
      </c>
      <c r="BC28" s="262">
        <v>544595.27</v>
      </c>
      <c r="BD28" s="3">
        <v>16499.87</v>
      </c>
      <c r="BE28" s="3">
        <v>10150</v>
      </c>
      <c r="BF28" s="3">
        <f>BC28-BD28+BE28</f>
        <v>538245.4</v>
      </c>
      <c r="BG28" s="3">
        <f>BF28/1000</f>
        <v>538.2454</v>
      </c>
      <c r="BI28" s="262">
        <v>660365.34</v>
      </c>
      <c r="BJ28" s="3">
        <v>214.85</v>
      </c>
      <c r="BK28" s="3">
        <v>56537.94999999999</v>
      </c>
      <c r="BL28" s="3">
        <f>BI28-BJ28+BK28</f>
        <v>716688.44</v>
      </c>
      <c r="BM28" s="3">
        <f>BL28/1000</f>
        <v>716.6884399999999</v>
      </c>
      <c r="BO28" s="262">
        <v>666472.5</v>
      </c>
      <c r="BP28" s="3">
        <v>0</v>
      </c>
      <c r="BQ28" s="3">
        <v>123086.58999999998</v>
      </c>
      <c r="BR28" s="3">
        <f>BO28-BP28+BQ28</f>
        <v>789559.09</v>
      </c>
      <c r="BS28" s="3">
        <f>BR28/1000</f>
        <v>789.55909</v>
      </c>
    </row>
    <row r="29" spans="12:67" ht="12.75">
      <c r="L29" s="244"/>
      <c r="M29" s="244"/>
      <c r="N29" s="14"/>
      <c r="O29" s="14"/>
      <c r="Q29" s="27"/>
      <c r="R29" s="27"/>
      <c r="S29" s="27"/>
      <c r="T29" s="27"/>
      <c r="U29" s="27"/>
      <c r="V29" s="27"/>
      <c r="W29" s="27"/>
      <c r="X29" s="36"/>
      <c r="Y29" s="14"/>
      <c r="Z29" s="14"/>
      <c r="AA29" s="80"/>
      <c r="AD29" s="14"/>
      <c r="AE29" s="1"/>
      <c r="AG29" s="92"/>
      <c r="BC29" s="262"/>
      <c r="BI29" s="262"/>
      <c r="BO29" s="262"/>
    </row>
    <row r="30" spans="1:71" ht="12.75">
      <c r="A30" s="1" t="s">
        <v>21</v>
      </c>
      <c r="B30" s="1">
        <v>25988</v>
      </c>
      <c r="C30" s="1">
        <v>27901</v>
      </c>
      <c r="D30" s="1">
        <v>26252</v>
      </c>
      <c r="E30" s="1">
        <v>27622</v>
      </c>
      <c r="F30" s="1">
        <v>32099</v>
      </c>
      <c r="G30" s="1">
        <v>36798.049680000004</v>
      </c>
      <c r="H30" s="1">
        <v>40224.55390000001</v>
      </c>
      <c r="I30" s="1">
        <v>31990.29075</v>
      </c>
      <c r="J30" s="1">
        <v>30747.802809999997</v>
      </c>
      <c r="K30" s="1">
        <v>29764.695359999998</v>
      </c>
      <c r="L30" s="244">
        <f>(K30-J30)*100/J30</f>
        <v>-3.197325857964287</v>
      </c>
      <c r="M30" s="244">
        <f>(K30-AC30)*100/AC30</f>
        <v>10.415459287012641</v>
      </c>
      <c r="N30" s="14">
        <v>8230</v>
      </c>
      <c r="O30" s="14">
        <v>8521</v>
      </c>
      <c r="P30" s="27">
        <v>9408</v>
      </c>
      <c r="Q30" s="27">
        <v>9792</v>
      </c>
      <c r="R30" s="27">
        <v>12864</v>
      </c>
      <c r="S30" s="27">
        <v>13505</v>
      </c>
      <c r="T30" s="27">
        <v>14174</v>
      </c>
      <c r="U30" s="27">
        <v>11761</v>
      </c>
      <c r="V30" s="27">
        <f>12906.998+1062.065</f>
        <v>13969.063</v>
      </c>
      <c r="W30" s="27">
        <f>13796.317+1099.854</f>
        <v>14896.170999999998</v>
      </c>
      <c r="X30" s="36">
        <f>14526.142+1155.61</f>
        <v>15681.752</v>
      </c>
      <c r="Y30" s="14">
        <f>15125.828+1184.484</f>
        <v>16310.312</v>
      </c>
      <c r="Z30" s="14">
        <v>16408</v>
      </c>
      <c r="AA30" s="80">
        <v>18803</v>
      </c>
      <c r="AB30" s="1">
        <v>25157</v>
      </c>
      <c r="AC30" s="1">
        <v>26957</v>
      </c>
      <c r="AD30" s="14"/>
      <c r="AE30" s="1">
        <v>25859194</v>
      </c>
      <c r="AF30" s="3">
        <v>402297.23</v>
      </c>
      <c r="AG30" s="92">
        <v>2164896.82</v>
      </c>
      <c r="AH30" s="3">
        <f>AE30-AF30+AG30</f>
        <v>27621793.59</v>
      </c>
      <c r="AI30" s="3">
        <f>AH30/1000</f>
        <v>27621.79359</v>
      </c>
      <c r="AK30" s="3">
        <v>29915605</v>
      </c>
      <c r="AL30" s="3">
        <v>50956.43</v>
      </c>
      <c r="AM30" s="3">
        <v>2234194.54</v>
      </c>
      <c r="AN30" s="3">
        <f>AK30-AL30+AM30</f>
        <v>32098843.11</v>
      </c>
      <c r="AO30" s="3">
        <f>AN30/1000</f>
        <v>32098.843109999998</v>
      </c>
      <c r="AQ30" s="3">
        <v>33422458.210000005</v>
      </c>
      <c r="AR30" s="3">
        <v>42545.38</v>
      </c>
      <c r="AS30" s="3">
        <v>3418136.85</v>
      </c>
      <c r="AT30" s="3">
        <f>AQ30-AR30+AS30</f>
        <v>36798049.68000001</v>
      </c>
      <c r="AU30" s="3">
        <f>AT30/1000</f>
        <v>36798.049680000004</v>
      </c>
      <c r="AW30" s="3">
        <v>36876375.83000001</v>
      </c>
      <c r="AX30" s="3">
        <v>0</v>
      </c>
      <c r="AY30" s="3">
        <v>3348178.07</v>
      </c>
      <c r="AZ30" s="3">
        <f>AW30-AX30+AY30</f>
        <v>40224553.90000001</v>
      </c>
      <c r="BA30" s="3">
        <f>AZ30/1000</f>
        <v>40224.55390000001</v>
      </c>
      <c r="BC30" s="262">
        <v>30132734.94</v>
      </c>
      <c r="BD30" s="3">
        <v>0</v>
      </c>
      <c r="BE30" s="3">
        <v>1857555.81</v>
      </c>
      <c r="BF30" s="3">
        <f>BC30-BD30+BE30</f>
        <v>31990290.75</v>
      </c>
      <c r="BG30" s="3">
        <f>BF30/1000</f>
        <v>31990.29075</v>
      </c>
      <c r="BI30" s="262">
        <v>28615786.18</v>
      </c>
      <c r="BJ30" s="3">
        <v>0</v>
      </c>
      <c r="BK30" s="3">
        <v>2132016.63</v>
      </c>
      <c r="BL30" s="3">
        <f>BI30-BJ30+BK30</f>
        <v>30747802.81</v>
      </c>
      <c r="BM30" s="3">
        <f>BL30/1000</f>
        <v>30747.802809999997</v>
      </c>
      <c r="BO30" s="262">
        <v>27755399.759999998</v>
      </c>
      <c r="BP30" s="3">
        <v>0</v>
      </c>
      <c r="BQ30" s="3">
        <v>2009295.6</v>
      </c>
      <c r="BR30" s="3">
        <f>BO30-BP30+BQ30</f>
        <v>29764695.36</v>
      </c>
      <c r="BS30" s="3">
        <f>BR30/1000</f>
        <v>29764.695359999998</v>
      </c>
    </row>
    <row r="31" spans="1:71" ht="12.75">
      <c r="A31" s="1" t="s">
        <v>22</v>
      </c>
      <c r="B31" s="1">
        <v>28530</v>
      </c>
      <c r="C31" s="1">
        <v>26783</v>
      </c>
      <c r="D31" s="1">
        <v>32785</v>
      </c>
      <c r="E31" s="1">
        <v>28987</v>
      </c>
      <c r="F31" s="1">
        <v>26773</v>
      </c>
      <c r="G31" s="1">
        <v>38233.735250000005</v>
      </c>
      <c r="H31" s="1">
        <v>32742.93588</v>
      </c>
      <c r="I31" s="1">
        <v>41267.899509999996</v>
      </c>
      <c r="J31" s="1">
        <v>21717.417839999995</v>
      </c>
      <c r="K31" s="1">
        <v>21537.77236</v>
      </c>
      <c r="L31" s="244">
        <f>(K31-J31)*100/J31</f>
        <v>-0.8271953936858805</v>
      </c>
      <c r="M31" s="244">
        <f>(K31-AC31)*100/AC31</f>
        <v>-19.757936142468616</v>
      </c>
      <c r="N31" s="14">
        <v>6249</v>
      </c>
      <c r="O31" s="14">
        <v>7023</v>
      </c>
      <c r="P31" s="27">
        <v>7952</v>
      </c>
      <c r="Q31" s="27">
        <v>8680</v>
      </c>
      <c r="R31" s="27">
        <v>8472</v>
      </c>
      <c r="S31" s="27">
        <v>9398</v>
      </c>
      <c r="T31" s="27">
        <v>10817</v>
      </c>
      <c r="U31" s="27">
        <v>9120</v>
      </c>
      <c r="V31" s="27">
        <f>11037.616+284.925</f>
        <v>11322.541</v>
      </c>
      <c r="W31" s="27">
        <f>11226.083+358.6</f>
        <v>11584.683</v>
      </c>
      <c r="X31" s="36">
        <f>14021.388+490.977</f>
        <v>14512.365000000002</v>
      </c>
      <c r="Y31" s="14">
        <f>17755.06+446.755</f>
        <v>18201.815000000002</v>
      </c>
      <c r="Z31" s="14">
        <v>19573</v>
      </c>
      <c r="AA31" s="80">
        <v>22005</v>
      </c>
      <c r="AB31" s="1">
        <v>24053</v>
      </c>
      <c r="AC31" s="1">
        <v>26841</v>
      </c>
      <c r="AD31" s="14"/>
      <c r="AE31" s="1">
        <v>28539537</v>
      </c>
      <c r="AF31" s="3">
        <v>183974.72</v>
      </c>
      <c r="AG31" s="92">
        <v>631603.37</v>
      </c>
      <c r="AH31" s="3">
        <f>AE31-AF31+AG31</f>
        <v>28987165.650000002</v>
      </c>
      <c r="AI31" s="3">
        <f>AH31/1000</f>
        <v>28987.165650000003</v>
      </c>
      <c r="AK31" s="3">
        <v>25224791</v>
      </c>
      <c r="AL31" s="3">
        <v>184822.57</v>
      </c>
      <c r="AM31" s="3">
        <v>1732821.74</v>
      </c>
      <c r="AN31" s="3">
        <f>AK31-AL31+AM31</f>
        <v>26772790.169999998</v>
      </c>
      <c r="AO31" s="3">
        <f>AN31/1000</f>
        <v>26772.790169999997</v>
      </c>
      <c r="AQ31" s="3">
        <v>35153140.52000001</v>
      </c>
      <c r="AR31" s="3">
        <v>28031.88</v>
      </c>
      <c r="AS31" s="3">
        <v>3108626.61</v>
      </c>
      <c r="AT31" s="3">
        <f>AQ31-AR31+AS31</f>
        <v>38233735.25000001</v>
      </c>
      <c r="AU31" s="3">
        <f>AT31/1000</f>
        <v>38233.735250000005</v>
      </c>
      <c r="AW31" s="3">
        <v>28269208.96</v>
      </c>
      <c r="AX31" s="3">
        <v>1681.32</v>
      </c>
      <c r="AY31" s="3">
        <v>4475408.24</v>
      </c>
      <c r="AZ31" s="3">
        <f>AW31-AX31+AY31</f>
        <v>32742935.880000003</v>
      </c>
      <c r="BA31" s="3">
        <f>AZ31/1000</f>
        <v>32742.93588</v>
      </c>
      <c r="BC31" s="262">
        <v>39030797.76</v>
      </c>
      <c r="BD31" s="3">
        <v>0</v>
      </c>
      <c r="BE31" s="3">
        <v>2237101.75</v>
      </c>
      <c r="BF31" s="3">
        <f>BC31-BD31+BE31</f>
        <v>41267899.51</v>
      </c>
      <c r="BG31" s="3">
        <f>BF31/1000</f>
        <v>41267.899509999996</v>
      </c>
      <c r="BI31" s="262">
        <v>20285642.779999997</v>
      </c>
      <c r="BJ31" s="3">
        <v>0</v>
      </c>
      <c r="BK31" s="3">
        <v>1431775.06</v>
      </c>
      <c r="BL31" s="3">
        <f>BI31-BJ31+BK31</f>
        <v>21717417.839999996</v>
      </c>
      <c r="BM31" s="3">
        <f>BL31/1000</f>
        <v>21717.417839999995</v>
      </c>
      <c r="BO31" s="262">
        <v>20557341.08</v>
      </c>
      <c r="BP31" s="3">
        <v>0</v>
      </c>
      <c r="BQ31" s="3">
        <v>980431.2799999999</v>
      </c>
      <c r="BR31" s="3">
        <f>BO31-BP31+BQ31</f>
        <v>21537772.36</v>
      </c>
      <c r="BS31" s="3">
        <f>BR31/1000</f>
        <v>21537.77236</v>
      </c>
    </row>
    <row r="32" spans="1:71" ht="12.75">
      <c r="A32" s="1" t="s">
        <v>23</v>
      </c>
      <c r="B32" s="1">
        <v>1714</v>
      </c>
      <c r="C32" s="1">
        <v>2037</v>
      </c>
      <c r="D32" s="1">
        <v>2226</v>
      </c>
      <c r="E32" s="1">
        <v>2023</v>
      </c>
      <c r="F32" s="1">
        <v>1771</v>
      </c>
      <c r="G32" s="1">
        <v>1726.61716</v>
      </c>
      <c r="H32" s="1">
        <v>2007.8159699999999</v>
      </c>
      <c r="I32" s="1">
        <v>2076.20183</v>
      </c>
      <c r="J32" s="1">
        <v>2097.3732699999996</v>
      </c>
      <c r="K32" s="1">
        <v>1788.87792</v>
      </c>
      <c r="L32" s="244">
        <f>(K32-J32)*100/J32</f>
        <v>-14.708652694901549</v>
      </c>
      <c r="M32" s="244">
        <f>(K32-AC32)*100/AC32</f>
        <v>8.878753499695673</v>
      </c>
      <c r="N32" s="14">
        <v>406</v>
      </c>
      <c r="O32" s="14">
        <v>406</v>
      </c>
      <c r="P32" s="27">
        <v>563</v>
      </c>
      <c r="Q32" s="27">
        <v>691</v>
      </c>
      <c r="R32" s="27">
        <v>851</v>
      </c>
      <c r="S32" s="27">
        <v>905</v>
      </c>
      <c r="T32" s="27">
        <v>884</v>
      </c>
      <c r="U32" s="27">
        <v>986</v>
      </c>
      <c r="V32" s="27">
        <f>1005.797+61.44</f>
        <v>1067.237</v>
      </c>
      <c r="W32" s="27">
        <f>1003.284+52.487</f>
        <v>1055.771</v>
      </c>
      <c r="X32" s="36">
        <f>1037.886+61.966</f>
        <v>1099.8519999999999</v>
      </c>
      <c r="Y32" s="14">
        <f>1279.32+64.331</f>
        <v>1343.6509999999998</v>
      </c>
      <c r="Z32" s="14">
        <v>1558</v>
      </c>
      <c r="AA32" s="80">
        <v>1635</v>
      </c>
      <c r="AB32" s="1">
        <v>1854</v>
      </c>
      <c r="AC32" s="1">
        <v>1643</v>
      </c>
      <c r="AD32" s="14"/>
      <c r="AE32" s="1">
        <v>1907628.03</v>
      </c>
      <c r="AF32" s="3">
        <v>3842.78</v>
      </c>
      <c r="AG32" s="92">
        <v>119608.94</v>
      </c>
      <c r="AH32" s="3">
        <f>AE32-AF32+AG32</f>
        <v>2023394.19</v>
      </c>
      <c r="AI32" s="3">
        <f>AH32/1000</f>
        <v>2023.39419</v>
      </c>
      <c r="AK32" s="3">
        <v>1658139.75</v>
      </c>
      <c r="AL32" s="3">
        <v>1690.97</v>
      </c>
      <c r="AM32" s="3">
        <v>114366.4</v>
      </c>
      <c r="AN32" s="3">
        <f>AK32-AL32+AM32</f>
        <v>1770815.18</v>
      </c>
      <c r="AO32" s="3">
        <f>AN32/1000</f>
        <v>1770.8151799999998</v>
      </c>
      <c r="AQ32" s="3">
        <v>1624476.52</v>
      </c>
      <c r="AR32" s="3">
        <v>7827.8</v>
      </c>
      <c r="AS32" s="3">
        <v>109968.44</v>
      </c>
      <c r="AT32" s="3">
        <f>AQ32-AR32+AS32</f>
        <v>1726617.16</v>
      </c>
      <c r="AU32" s="3">
        <f>AT32/1000</f>
        <v>1726.61716</v>
      </c>
      <c r="AW32" s="3">
        <v>1894005.99</v>
      </c>
      <c r="AX32" s="3">
        <v>5396.98</v>
      </c>
      <c r="AY32" s="3">
        <v>119206.96</v>
      </c>
      <c r="AZ32" s="3">
        <f>AW32-AX32+AY32</f>
        <v>2007815.97</v>
      </c>
      <c r="BA32" s="3">
        <f>AZ32/1000</f>
        <v>2007.8159699999999</v>
      </c>
      <c r="BC32" s="262">
        <v>1954722.87</v>
      </c>
      <c r="BD32" s="3">
        <v>6127.78</v>
      </c>
      <c r="BE32" s="3">
        <v>127606.74</v>
      </c>
      <c r="BF32" s="3">
        <f>BC32-BD32+BE32</f>
        <v>2076201.83</v>
      </c>
      <c r="BG32" s="3">
        <f>BF32/1000</f>
        <v>2076.20183</v>
      </c>
      <c r="BI32" s="262">
        <v>1914957.4799999995</v>
      </c>
      <c r="BJ32" s="3">
        <v>12201.29</v>
      </c>
      <c r="BK32" s="3">
        <v>194617.08000000002</v>
      </c>
      <c r="BL32" s="3">
        <f>BI32-BJ32+BK32</f>
        <v>2097373.2699999996</v>
      </c>
      <c r="BM32" s="3">
        <f>BL32/1000</f>
        <v>2097.3732699999996</v>
      </c>
      <c r="BO32" s="262">
        <v>1583187.1199999999</v>
      </c>
      <c r="BP32" s="3">
        <v>5555.05</v>
      </c>
      <c r="BQ32" s="3">
        <v>211245.85000000003</v>
      </c>
      <c r="BR32" s="3">
        <f>BO32-BP32+BQ32</f>
        <v>1788877.92</v>
      </c>
      <c r="BS32" s="3">
        <f>BR32/1000</f>
        <v>1788.87792</v>
      </c>
    </row>
    <row r="33" spans="1:71" ht="12.75">
      <c r="A33" s="1" t="s">
        <v>24</v>
      </c>
      <c r="B33" s="1">
        <v>2574</v>
      </c>
      <c r="C33" s="1">
        <v>3143</v>
      </c>
      <c r="D33" s="1">
        <v>2623</v>
      </c>
      <c r="E33" s="1">
        <v>3566</v>
      </c>
      <c r="F33" s="1">
        <v>4120</v>
      </c>
      <c r="G33" s="1">
        <v>3610.9520599999996</v>
      </c>
      <c r="H33" s="1">
        <v>3665.1275</v>
      </c>
      <c r="I33" s="1">
        <v>4795.51424</v>
      </c>
      <c r="J33" s="1">
        <v>4991.40116</v>
      </c>
      <c r="K33" s="1">
        <v>9209.48345</v>
      </c>
      <c r="L33" s="244">
        <f>(K33-J33)*100/J33</f>
        <v>84.50697819687967</v>
      </c>
      <c r="M33" s="244">
        <f>(K33-AC33)*100/AC33</f>
        <v>267.3507558835261</v>
      </c>
      <c r="N33" s="14">
        <v>1071</v>
      </c>
      <c r="O33" s="14">
        <v>966</v>
      </c>
      <c r="P33" s="27">
        <v>1086</v>
      </c>
      <c r="Q33" s="27">
        <v>1175</v>
      </c>
      <c r="R33" s="27">
        <v>1280</v>
      </c>
      <c r="S33" s="27">
        <v>1496</v>
      </c>
      <c r="T33" s="27">
        <v>1717</v>
      </c>
      <c r="U33" s="27">
        <v>1657</v>
      </c>
      <c r="V33" s="27">
        <f>1775.767+137.098</f>
        <v>1912.865</v>
      </c>
      <c r="W33" s="27">
        <f>1685.747+90.827</f>
        <v>1776.574</v>
      </c>
      <c r="X33" s="36">
        <f>2239.055+101.434</f>
        <v>2340.489</v>
      </c>
      <c r="Y33" s="14">
        <f>1368.375+102.208</f>
        <v>1470.583</v>
      </c>
      <c r="Z33" s="14">
        <v>1889</v>
      </c>
      <c r="AA33" s="80">
        <v>2622</v>
      </c>
      <c r="AB33" s="1">
        <v>2896</v>
      </c>
      <c r="AC33" s="1">
        <v>2507</v>
      </c>
      <c r="AD33" s="14"/>
      <c r="AE33" s="1">
        <v>3338109.3</v>
      </c>
      <c r="AF33" s="3">
        <v>23304.96</v>
      </c>
      <c r="AG33" s="92">
        <v>250927.33</v>
      </c>
      <c r="AH33" s="3">
        <f>AE33-AF33+AG33</f>
        <v>3565731.67</v>
      </c>
      <c r="AI33" s="3">
        <f>AH33/1000</f>
        <v>3565.73167</v>
      </c>
      <c r="AK33" s="3">
        <v>3823322</v>
      </c>
      <c r="AL33" s="3">
        <v>42244.11</v>
      </c>
      <c r="AM33" s="3">
        <v>339057.65</v>
      </c>
      <c r="AN33" s="3">
        <f>AK33-AL33+AM33</f>
        <v>4120135.54</v>
      </c>
      <c r="AO33" s="3">
        <f>AN33/1000</f>
        <v>4120.13554</v>
      </c>
      <c r="AQ33" s="3">
        <v>3499025.28</v>
      </c>
      <c r="AR33" s="3">
        <v>46538.89</v>
      </c>
      <c r="AS33" s="3">
        <v>158465.67</v>
      </c>
      <c r="AT33" s="3">
        <f>AQ33-AR33+AS33</f>
        <v>3610952.0599999996</v>
      </c>
      <c r="AU33" s="3">
        <f>AT33/1000</f>
        <v>3610.9520599999996</v>
      </c>
      <c r="AW33" s="3">
        <v>3482829.57</v>
      </c>
      <c r="AX33" s="3">
        <v>19524.69</v>
      </c>
      <c r="AY33" s="3">
        <v>201822.62</v>
      </c>
      <c r="AZ33" s="3">
        <f>AW33-AX33+AY33</f>
        <v>3665127.5</v>
      </c>
      <c r="BA33" s="3">
        <f>AZ33/1000</f>
        <v>3665.1275</v>
      </c>
      <c r="BC33" s="262">
        <v>4695051.79</v>
      </c>
      <c r="BD33" s="3">
        <v>39559.46</v>
      </c>
      <c r="BE33" s="3">
        <v>140021.91</v>
      </c>
      <c r="BF33" s="3">
        <f>BC33-BD33+BE33</f>
        <v>4795514.24</v>
      </c>
      <c r="BG33" s="3">
        <f>BF33/1000</f>
        <v>4795.51424</v>
      </c>
      <c r="BI33" s="262">
        <v>4690695.63</v>
      </c>
      <c r="BJ33" s="3">
        <v>14014.259999999998</v>
      </c>
      <c r="BK33" s="3">
        <v>314719.79</v>
      </c>
      <c r="BL33" s="3">
        <f>BI33-BJ33+BK33</f>
        <v>4991401.16</v>
      </c>
      <c r="BM33" s="3">
        <f>BL33/1000</f>
        <v>4991.40116</v>
      </c>
      <c r="BO33" s="262">
        <v>7134860.819999999</v>
      </c>
      <c r="BP33" s="3">
        <v>19827.62</v>
      </c>
      <c r="BQ33" s="3">
        <v>2094450.25</v>
      </c>
      <c r="BR33" s="3">
        <f>BO33-BP33+BQ33</f>
        <v>9209483.45</v>
      </c>
      <c r="BS33" s="3">
        <f>BR33/1000</f>
        <v>9209.48345</v>
      </c>
    </row>
    <row r="34" spans="1:71" ht="12.75">
      <c r="A34" s="1" t="s">
        <v>25</v>
      </c>
      <c r="B34" s="1">
        <v>760</v>
      </c>
      <c r="C34" s="1">
        <v>881</v>
      </c>
      <c r="D34" s="1">
        <v>910</v>
      </c>
      <c r="E34" s="1">
        <v>848</v>
      </c>
      <c r="F34" s="1">
        <v>1106</v>
      </c>
      <c r="G34" s="1">
        <v>1146.7490400000002</v>
      </c>
      <c r="H34" s="1">
        <v>1334.01906</v>
      </c>
      <c r="I34" s="1">
        <v>1254.01528</v>
      </c>
      <c r="J34" s="1">
        <v>1088.1234000000002</v>
      </c>
      <c r="K34" s="1">
        <v>1240.78248</v>
      </c>
      <c r="L34" s="244">
        <f>(K34-J34)*100/J34</f>
        <v>14.029574219247548</v>
      </c>
      <c r="M34" s="244">
        <f>(K34-AC34)*100/AC34</f>
        <v>36.349723076923084</v>
      </c>
      <c r="N34" s="14">
        <v>273</v>
      </c>
      <c r="O34" s="14">
        <v>253</v>
      </c>
      <c r="P34" s="27">
        <v>227</v>
      </c>
      <c r="Q34" s="27">
        <v>274</v>
      </c>
      <c r="R34" s="27">
        <v>343</v>
      </c>
      <c r="S34" s="27">
        <v>385</v>
      </c>
      <c r="T34" s="27">
        <v>337</v>
      </c>
      <c r="U34" s="27">
        <v>337</v>
      </c>
      <c r="V34" s="27">
        <f>385.741+23.122</f>
        <v>408.863</v>
      </c>
      <c r="W34" s="27">
        <f>339.032+5.435</f>
        <v>344.467</v>
      </c>
      <c r="X34" s="36">
        <f>410.531+12.979</f>
        <v>423.51</v>
      </c>
      <c r="Y34" s="14">
        <f>416.296+7.139</f>
        <v>423.435</v>
      </c>
      <c r="Z34" s="14">
        <v>464</v>
      </c>
      <c r="AA34" s="80">
        <v>708</v>
      </c>
      <c r="AB34" s="1">
        <v>844</v>
      </c>
      <c r="AC34" s="1">
        <v>910</v>
      </c>
      <c r="AD34" s="14"/>
      <c r="AE34" s="1">
        <v>817853.16</v>
      </c>
      <c r="AF34" s="3">
        <v>7140.46</v>
      </c>
      <c r="AG34" s="92">
        <v>37495.66</v>
      </c>
      <c r="AH34" s="3">
        <f>AE34-AF34+AG34</f>
        <v>848208.3600000001</v>
      </c>
      <c r="AI34" s="3">
        <f>AH34/1000</f>
        <v>848.2083600000001</v>
      </c>
      <c r="AK34" s="3">
        <v>1081589.02</v>
      </c>
      <c r="AL34" s="3">
        <v>5241.63</v>
      </c>
      <c r="AM34" s="3">
        <v>29683.58</v>
      </c>
      <c r="AN34" s="3">
        <f>AK34-AL34+AM34</f>
        <v>1106030.9700000002</v>
      </c>
      <c r="AO34" s="3">
        <f>AN34/1000</f>
        <v>1106.0309700000003</v>
      </c>
      <c r="AQ34" s="3">
        <v>1064019.82</v>
      </c>
      <c r="AR34" s="3">
        <v>14872.06</v>
      </c>
      <c r="AS34" s="3">
        <v>97601.28</v>
      </c>
      <c r="AT34" s="3">
        <f>AQ34-AR34+AS34</f>
        <v>1146749.04</v>
      </c>
      <c r="AU34" s="3">
        <f>AT34/1000</f>
        <v>1146.7490400000002</v>
      </c>
      <c r="AW34" s="3">
        <v>1291727.32</v>
      </c>
      <c r="AX34" s="3">
        <v>4846.82</v>
      </c>
      <c r="AY34" s="3">
        <v>47138.56</v>
      </c>
      <c r="AZ34" s="3">
        <f>AW34-AX34+AY34</f>
        <v>1334019.06</v>
      </c>
      <c r="BA34" s="3">
        <f>AZ34/1000</f>
        <v>1334.01906</v>
      </c>
      <c r="BC34" s="262">
        <v>1233461.33</v>
      </c>
      <c r="BD34" s="3">
        <v>18177.59</v>
      </c>
      <c r="BE34" s="3">
        <v>38731.54</v>
      </c>
      <c r="BF34" s="3">
        <f>BC34-BD34+BE34</f>
        <v>1254015.28</v>
      </c>
      <c r="BG34" s="3">
        <f>BF34/1000</f>
        <v>1254.01528</v>
      </c>
      <c r="BI34" s="262">
        <v>1072958.4100000001</v>
      </c>
      <c r="BJ34" s="3">
        <v>17760.760000000002</v>
      </c>
      <c r="BK34" s="3">
        <v>32925.75</v>
      </c>
      <c r="BL34" s="3">
        <f>BI34-BJ34+BK34</f>
        <v>1088123.4000000001</v>
      </c>
      <c r="BM34" s="3">
        <f>BL34/1000</f>
        <v>1088.1234000000002</v>
      </c>
      <c r="BO34" s="262">
        <v>1172944.5199999998</v>
      </c>
      <c r="BP34" s="3">
        <v>5645.379999999999</v>
      </c>
      <c r="BQ34" s="3">
        <v>73483.34000000003</v>
      </c>
      <c r="BR34" s="3">
        <f>BO34-BP34+BQ34</f>
        <v>1240782.48</v>
      </c>
      <c r="BS34" s="3">
        <f>BR34/1000</f>
        <v>1240.78248</v>
      </c>
    </row>
    <row r="35" spans="12:67" ht="12.75">
      <c r="L35" s="244"/>
      <c r="M35" s="244"/>
      <c r="O35" s="14"/>
      <c r="P35" s="27"/>
      <c r="Q35" s="27"/>
      <c r="R35" s="27"/>
      <c r="S35" s="27"/>
      <c r="T35" s="27"/>
      <c r="U35" s="27"/>
      <c r="V35" s="27"/>
      <c r="W35" s="27"/>
      <c r="X35" s="36"/>
      <c r="Y35" s="14"/>
      <c r="Z35" s="14"/>
      <c r="AA35" s="80"/>
      <c r="AD35" s="14"/>
      <c r="AE35" s="1"/>
      <c r="AG35" s="92"/>
      <c r="BC35" s="262"/>
      <c r="BI35" s="262"/>
      <c r="BO35" s="262"/>
    </row>
    <row r="36" spans="1:71" ht="12.75">
      <c r="A36" s="1" t="s">
        <v>26</v>
      </c>
      <c r="B36" s="1">
        <v>749</v>
      </c>
      <c r="C36" s="1">
        <v>1088</v>
      </c>
      <c r="D36" s="1">
        <v>859</v>
      </c>
      <c r="E36" s="1">
        <v>1222</v>
      </c>
      <c r="F36" s="1">
        <v>916</v>
      </c>
      <c r="G36" s="1">
        <v>1161.31845</v>
      </c>
      <c r="H36" s="1">
        <v>1198.6790999999998</v>
      </c>
      <c r="I36" s="1">
        <v>1250.81085</v>
      </c>
      <c r="J36" s="1">
        <v>1481.48533</v>
      </c>
      <c r="K36" s="1">
        <v>1551.51929</v>
      </c>
      <c r="L36" s="244">
        <f>(K36-J36)*100/J36</f>
        <v>4.727280019708328</v>
      </c>
      <c r="M36" s="244">
        <f>(K36-AC36)*100/AC36</f>
        <v>79.99063689095127</v>
      </c>
      <c r="N36" s="14">
        <v>438</v>
      </c>
      <c r="O36" s="14">
        <v>408</v>
      </c>
      <c r="P36" s="27">
        <v>378</v>
      </c>
      <c r="Q36" s="27">
        <v>557</v>
      </c>
      <c r="R36" s="27">
        <v>531</v>
      </c>
      <c r="S36" s="27">
        <v>635</v>
      </c>
      <c r="T36" s="27">
        <v>714</v>
      </c>
      <c r="U36" s="27">
        <v>376</v>
      </c>
      <c r="V36" s="27">
        <f>415.313+15.044</f>
        <v>430.35699999999997</v>
      </c>
      <c r="W36" s="27">
        <f>519.25+19.59</f>
        <v>538.84</v>
      </c>
      <c r="X36" s="36">
        <f>700.339+19.941</f>
        <v>720.2800000000001</v>
      </c>
      <c r="Y36" s="14">
        <f>565.605+30.332</f>
        <v>595.937</v>
      </c>
      <c r="Z36" s="14">
        <v>646</v>
      </c>
      <c r="AA36" s="80">
        <v>780</v>
      </c>
      <c r="AB36" s="1">
        <v>722</v>
      </c>
      <c r="AC36" s="1">
        <v>862</v>
      </c>
      <c r="AD36" s="14"/>
      <c r="AE36" s="1">
        <v>1137086.82</v>
      </c>
      <c r="AF36" s="3">
        <v>0</v>
      </c>
      <c r="AG36" s="92">
        <v>84855.31</v>
      </c>
      <c r="AH36" s="3">
        <f>AE36-AF36+AG36</f>
        <v>1221942.1300000001</v>
      </c>
      <c r="AI36" s="3">
        <f>AH36/1000</f>
        <v>1221.9421300000001</v>
      </c>
      <c r="AK36" s="3">
        <v>813331.88</v>
      </c>
      <c r="AL36" s="3">
        <v>0</v>
      </c>
      <c r="AM36" s="3">
        <v>102236.07</v>
      </c>
      <c r="AN36" s="3">
        <f>AK36-AL36+AM36</f>
        <v>915567.95</v>
      </c>
      <c r="AO36" s="3">
        <f>AN36/1000</f>
        <v>915.56795</v>
      </c>
      <c r="AQ36" s="3">
        <v>1062642.46</v>
      </c>
      <c r="AR36" s="3">
        <v>0</v>
      </c>
      <c r="AS36" s="3">
        <v>98675.99</v>
      </c>
      <c r="AT36" s="3">
        <f>AQ36-AR36+AS36</f>
        <v>1161318.45</v>
      </c>
      <c r="AU36" s="3">
        <f>AT36/1000</f>
        <v>1161.31845</v>
      </c>
      <c r="AW36" s="3">
        <v>1137561.96</v>
      </c>
      <c r="AX36" s="3">
        <v>0</v>
      </c>
      <c r="AY36" s="3">
        <v>61117.14</v>
      </c>
      <c r="AZ36" s="3">
        <f>AW36-AX36+AY36</f>
        <v>1198679.0999999999</v>
      </c>
      <c r="BA36" s="3">
        <f>AZ36/1000</f>
        <v>1198.6790999999998</v>
      </c>
      <c r="BC36" s="262">
        <v>1139338.85</v>
      </c>
      <c r="BD36" s="3">
        <v>0</v>
      </c>
      <c r="BE36" s="3">
        <v>111472</v>
      </c>
      <c r="BF36" s="3">
        <f>BC36-BD36+BE36</f>
        <v>1250810.85</v>
      </c>
      <c r="BG36" s="3">
        <f>BF36/1000</f>
        <v>1250.81085</v>
      </c>
      <c r="BI36" s="262">
        <v>1391979.07</v>
      </c>
      <c r="BJ36" s="3">
        <v>0</v>
      </c>
      <c r="BK36" s="3">
        <v>89506.26</v>
      </c>
      <c r="BL36" s="3">
        <f>BI36-BJ36+BK36</f>
        <v>1481485.33</v>
      </c>
      <c r="BM36" s="3">
        <f>BL36/1000</f>
        <v>1481.48533</v>
      </c>
      <c r="BO36" s="262">
        <v>1340108.29</v>
      </c>
      <c r="BP36" s="3">
        <v>0</v>
      </c>
      <c r="BQ36" s="3">
        <v>211411</v>
      </c>
      <c r="BR36" s="3">
        <f>BO36-BP36+BQ36</f>
        <v>1551519.29</v>
      </c>
      <c r="BS36" s="3">
        <f>BR36/1000</f>
        <v>1551.51929</v>
      </c>
    </row>
    <row r="37" spans="1:71" ht="12.75">
      <c r="A37" s="1" t="s">
        <v>27</v>
      </c>
      <c r="B37" s="1">
        <v>3040</v>
      </c>
      <c r="C37" s="1">
        <v>3974</v>
      </c>
      <c r="D37" s="1">
        <v>4578</v>
      </c>
      <c r="E37" s="1">
        <v>6358</v>
      </c>
      <c r="F37" s="1">
        <v>8000</v>
      </c>
      <c r="G37" s="1">
        <v>7442.2038600000005</v>
      </c>
      <c r="H37" s="1">
        <v>8476.713999999998</v>
      </c>
      <c r="I37" s="1">
        <v>9524.804819999998</v>
      </c>
      <c r="J37" s="1">
        <v>8973.251600000001</v>
      </c>
      <c r="K37" s="1">
        <v>7405.741759999999</v>
      </c>
      <c r="L37" s="244">
        <f>(K37-J37)*100/J37</f>
        <v>-17.468693734164347</v>
      </c>
      <c r="M37" s="244">
        <f>(K37-AC37)*100/AC37</f>
        <v>153.79512542837557</v>
      </c>
      <c r="N37" s="14">
        <v>1109</v>
      </c>
      <c r="O37" s="14">
        <v>994</v>
      </c>
      <c r="P37" s="27">
        <v>1064</v>
      </c>
      <c r="Q37" s="27">
        <v>1204</v>
      </c>
      <c r="R37" s="27">
        <v>1490</v>
      </c>
      <c r="S37" s="27">
        <v>1662</v>
      </c>
      <c r="T37" s="27">
        <v>1700</v>
      </c>
      <c r="U37" s="27">
        <v>1519</v>
      </c>
      <c r="V37" s="27">
        <f>1753.539+37.014</f>
        <v>1790.5529999999999</v>
      </c>
      <c r="W37" s="27">
        <f>2089.922+63.469</f>
        <v>2153.391</v>
      </c>
      <c r="X37" s="36">
        <f>2091.648+48.767</f>
        <v>2140.415</v>
      </c>
      <c r="Y37" s="14">
        <f>2304.619+63.209</f>
        <v>2367.828</v>
      </c>
      <c r="Z37" s="14">
        <v>2377</v>
      </c>
      <c r="AA37" s="80">
        <v>3112</v>
      </c>
      <c r="AB37" s="1">
        <v>2986</v>
      </c>
      <c r="AC37" s="1">
        <v>2918</v>
      </c>
      <c r="AD37" s="14"/>
      <c r="AE37" s="1">
        <v>6209516</v>
      </c>
      <c r="AF37" s="3">
        <v>527.48</v>
      </c>
      <c r="AG37" s="92">
        <v>148540.94</v>
      </c>
      <c r="AH37" s="3">
        <f>AE37-AF37+AG37</f>
        <v>6357529.46</v>
      </c>
      <c r="AI37" s="3">
        <f>AH37/1000</f>
        <v>6357.52946</v>
      </c>
      <c r="AK37" s="3">
        <v>7804565</v>
      </c>
      <c r="AL37" s="3">
        <v>0</v>
      </c>
      <c r="AM37" s="3">
        <v>195076.45</v>
      </c>
      <c r="AN37" s="3">
        <f>AK37-AL37+AM37</f>
        <v>7999641.45</v>
      </c>
      <c r="AO37" s="3">
        <f>AN37/1000</f>
        <v>7999.64145</v>
      </c>
      <c r="AQ37" s="3">
        <v>7095481.92</v>
      </c>
      <c r="AR37" s="3">
        <v>0</v>
      </c>
      <c r="AS37" s="3">
        <v>346721.94</v>
      </c>
      <c r="AT37" s="3">
        <f>AQ37-AR37+AS37</f>
        <v>7442203.86</v>
      </c>
      <c r="AU37" s="3">
        <f>AT37/1000</f>
        <v>7442.2038600000005</v>
      </c>
      <c r="AW37" s="3">
        <v>8133484.519999999</v>
      </c>
      <c r="AX37" s="3">
        <v>0</v>
      </c>
      <c r="AY37" s="3">
        <v>343229.48</v>
      </c>
      <c r="AZ37" s="3">
        <f>AW37-AX37+AY37</f>
        <v>8476713.999999998</v>
      </c>
      <c r="BA37" s="3">
        <f>AZ37/1000</f>
        <v>8476.713999999998</v>
      </c>
      <c r="BC37" s="262">
        <v>9001597.759999998</v>
      </c>
      <c r="BD37" s="3">
        <v>0</v>
      </c>
      <c r="BE37" s="3">
        <v>523207.06</v>
      </c>
      <c r="BF37" s="3">
        <f>BC37-BD37+BE37</f>
        <v>9524804.819999998</v>
      </c>
      <c r="BG37" s="3">
        <f>BF37/1000</f>
        <v>9524.804819999998</v>
      </c>
      <c r="BI37" s="262">
        <v>8397065.660000002</v>
      </c>
      <c r="BJ37" s="3">
        <v>0</v>
      </c>
      <c r="BK37" s="3">
        <v>576185.94</v>
      </c>
      <c r="BL37" s="3">
        <f>BI37-BJ37+BK37</f>
        <v>8973251.600000001</v>
      </c>
      <c r="BM37" s="3">
        <f>BL37/1000</f>
        <v>8973.251600000001</v>
      </c>
      <c r="BO37" s="262">
        <v>6833555.659999999</v>
      </c>
      <c r="BP37" s="3">
        <v>0</v>
      </c>
      <c r="BQ37" s="3">
        <v>572186.1</v>
      </c>
      <c r="BR37" s="3">
        <f>BO37-BP37+BQ37</f>
        <v>7405741.759999999</v>
      </c>
      <c r="BS37" s="3">
        <f>BR37/1000</f>
        <v>7405.741759999999</v>
      </c>
    </row>
    <row r="38" spans="1:71" ht="12.75">
      <c r="A38" s="1" t="s">
        <v>28</v>
      </c>
      <c r="B38" s="1">
        <v>2977</v>
      </c>
      <c r="C38" s="1">
        <v>2946</v>
      </c>
      <c r="D38" s="1">
        <v>3138</v>
      </c>
      <c r="E38" s="1">
        <v>3611</v>
      </c>
      <c r="F38" s="1">
        <v>3328</v>
      </c>
      <c r="G38" s="1">
        <v>3875.6392699999997</v>
      </c>
      <c r="H38" s="1">
        <v>4311.39169</v>
      </c>
      <c r="I38" s="1">
        <v>4606.57123</v>
      </c>
      <c r="J38" s="1">
        <v>4299.577899999999</v>
      </c>
      <c r="K38" s="1">
        <v>4935.04793</v>
      </c>
      <c r="L38" s="244">
        <f>(K38-J38)*100/J38</f>
        <v>14.77982361943019</v>
      </c>
      <c r="M38" s="244">
        <f>(K38-AC38)*100/AC38</f>
        <v>67.4032540705563</v>
      </c>
      <c r="N38" s="14">
        <v>999</v>
      </c>
      <c r="O38" s="14">
        <v>979</v>
      </c>
      <c r="P38" s="27">
        <v>1198</v>
      </c>
      <c r="Q38" s="27">
        <v>1316</v>
      </c>
      <c r="R38" s="27">
        <v>1385</v>
      </c>
      <c r="S38" s="27">
        <v>1762</v>
      </c>
      <c r="T38" s="27">
        <v>1862</v>
      </c>
      <c r="U38" s="27">
        <v>1357</v>
      </c>
      <c r="V38" s="27">
        <f>1737.202+83.553</f>
        <v>1820.755</v>
      </c>
      <c r="W38" s="27">
        <f>1498.062+79.272</f>
        <v>1577.3339999999998</v>
      </c>
      <c r="X38" s="36">
        <f>1555.068+74.509</f>
        <v>1629.577</v>
      </c>
      <c r="Y38" s="14">
        <f>1766.551+68.09</f>
        <v>1834.6409999999998</v>
      </c>
      <c r="Z38" s="14">
        <v>1981</v>
      </c>
      <c r="AA38" s="80">
        <v>2199</v>
      </c>
      <c r="AB38" s="1">
        <v>2335</v>
      </c>
      <c r="AC38" s="1">
        <v>2948</v>
      </c>
      <c r="AD38" s="14"/>
      <c r="AE38" s="1">
        <v>3421262.15</v>
      </c>
      <c r="AF38" s="3">
        <v>29233.42</v>
      </c>
      <c r="AG38" s="92">
        <v>218497.73</v>
      </c>
      <c r="AH38" s="3">
        <f>AE38-AF38+AG38</f>
        <v>3610526.46</v>
      </c>
      <c r="AI38" s="3">
        <f>AH38/1000</f>
        <v>3610.52646</v>
      </c>
      <c r="AK38" s="3">
        <v>3196182.51</v>
      </c>
      <c r="AL38" s="3">
        <v>62941.95</v>
      </c>
      <c r="AM38" s="3">
        <v>194642.51</v>
      </c>
      <c r="AN38" s="3">
        <f>AK38-AL38+AM38</f>
        <v>3327883.0699999994</v>
      </c>
      <c r="AO38" s="3">
        <f>AN38/1000</f>
        <v>3327.8830699999994</v>
      </c>
      <c r="AQ38" s="3">
        <v>3731774.76</v>
      </c>
      <c r="AR38" s="3">
        <v>28847.02</v>
      </c>
      <c r="AS38" s="3">
        <v>172711.53</v>
      </c>
      <c r="AT38" s="3">
        <f>AQ38-AR38+AS38</f>
        <v>3875639.2699999996</v>
      </c>
      <c r="AU38" s="3">
        <f>AT38/1000</f>
        <v>3875.6392699999997</v>
      </c>
      <c r="AW38" s="3">
        <v>4150803.78</v>
      </c>
      <c r="AX38" s="3">
        <v>25250.53</v>
      </c>
      <c r="AY38" s="3">
        <v>185838.44</v>
      </c>
      <c r="AZ38" s="3">
        <f>AW38-AX38+AY38</f>
        <v>4311391.69</v>
      </c>
      <c r="BA38" s="3">
        <f>AZ38/1000</f>
        <v>4311.39169</v>
      </c>
      <c r="BC38" s="262">
        <v>4388613.55</v>
      </c>
      <c r="BD38" s="3">
        <v>18888.11</v>
      </c>
      <c r="BE38" s="3">
        <v>236845.79</v>
      </c>
      <c r="BF38" s="3">
        <f>BC38-BD38+BE38</f>
        <v>4606571.2299999995</v>
      </c>
      <c r="BG38" s="3">
        <f>BF38/1000</f>
        <v>4606.57123</v>
      </c>
      <c r="BI38" s="262">
        <v>4159147.26</v>
      </c>
      <c r="BJ38" s="3">
        <v>14518.24</v>
      </c>
      <c r="BK38" s="3">
        <v>154948.87999999995</v>
      </c>
      <c r="BL38" s="3">
        <f>BI38-BJ38+BK38</f>
        <v>4299577.899999999</v>
      </c>
      <c r="BM38" s="3">
        <f>BL38/1000</f>
        <v>4299.577899999999</v>
      </c>
      <c r="BO38" s="262">
        <v>4461333.82</v>
      </c>
      <c r="BP38" s="3">
        <v>16284.499999999998</v>
      </c>
      <c r="BQ38" s="3">
        <v>489998.60999999987</v>
      </c>
      <c r="BR38" s="3">
        <f>BO38-BP38+BQ38</f>
        <v>4935047.93</v>
      </c>
      <c r="BS38" s="3">
        <f>BR38/1000</f>
        <v>4935.04793</v>
      </c>
    </row>
    <row r="39" spans="1:71" ht="12.75">
      <c r="A39" s="17" t="s">
        <v>29</v>
      </c>
      <c r="B39" s="1">
        <v>1904</v>
      </c>
      <c r="C39" s="1">
        <v>1830</v>
      </c>
      <c r="D39" s="1">
        <v>2429</v>
      </c>
      <c r="E39" s="1">
        <v>2716</v>
      </c>
      <c r="F39" s="1">
        <v>2714</v>
      </c>
      <c r="G39" s="1">
        <v>2582.10205</v>
      </c>
      <c r="H39" s="1">
        <v>3057.4565300000004</v>
      </c>
      <c r="I39" s="1">
        <v>2611.65034</v>
      </c>
      <c r="J39" s="1">
        <v>2723.5357599999998</v>
      </c>
      <c r="K39" s="1">
        <v>2888.6384800000005</v>
      </c>
      <c r="L39" s="244">
        <f>(K39-J39)*100/J39</f>
        <v>6.06207278144939</v>
      </c>
      <c r="M39" s="244">
        <f>(K39-AC39)*100/AC39</f>
        <v>74.75126920750155</v>
      </c>
      <c r="N39" s="14">
        <v>618</v>
      </c>
      <c r="O39" s="14">
        <v>650</v>
      </c>
      <c r="P39" s="27">
        <v>621</v>
      </c>
      <c r="Q39" s="27">
        <v>813</v>
      </c>
      <c r="R39" s="27">
        <v>915</v>
      </c>
      <c r="S39" s="27">
        <v>1011</v>
      </c>
      <c r="T39" s="27">
        <v>1150</v>
      </c>
      <c r="U39" s="27">
        <v>1230</v>
      </c>
      <c r="V39" s="27">
        <f>1193.549+62.492</f>
        <v>1256.041</v>
      </c>
      <c r="W39" s="27">
        <f>1373.98+62.257</f>
        <v>1436.237</v>
      </c>
      <c r="X39" s="36">
        <f>1343.098+73.027</f>
        <v>1416.125</v>
      </c>
      <c r="Y39" s="14">
        <f>1269.758+81.671</f>
        <v>1351.429</v>
      </c>
      <c r="Z39" s="14">
        <v>1593</v>
      </c>
      <c r="AA39" s="80">
        <v>1524</v>
      </c>
      <c r="AB39" s="1">
        <v>1337</v>
      </c>
      <c r="AC39" s="1">
        <v>1653</v>
      </c>
      <c r="AD39" s="14"/>
      <c r="AE39" s="1">
        <v>2404416.27</v>
      </c>
      <c r="AF39" s="3">
        <v>5294.5</v>
      </c>
      <c r="AG39" s="107">
        <v>317247.87</v>
      </c>
      <c r="AH39" s="3">
        <f>AE39-AF39+AG39</f>
        <v>2716369.64</v>
      </c>
      <c r="AI39" s="3">
        <f>AH39/1000</f>
        <v>2716.3696400000003</v>
      </c>
      <c r="AK39" s="3">
        <v>2340039.46</v>
      </c>
      <c r="AL39" s="3">
        <v>22160.01</v>
      </c>
      <c r="AM39" s="3">
        <v>396424.72</v>
      </c>
      <c r="AN39" s="3">
        <f>AK39-AL39+AM39</f>
        <v>2714304.17</v>
      </c>
      <c r="AO39" s="3">
        <f>AN39/1000</f>
        <v>2714.30417</v>
      </c>
      <c r="AQ39" s="3">
        <v>2273985.55</v>
      </c>
      <c r="AR39" s="3">
        <v>22295.07</v>
      </c>
      <c r="AS39" s="3">
        <v>330411.57</v>
      </c>
      <c r="AT39" s="3">
        <f>AQ39-AR39+AS39</f>
        <v>2582102.05</v>
      </c>
      <c r="AU39" s="3">
        <f>AT39/1000</f>
        <v>2582.10205</v>
      </c>
      <c r="AW39" s="3">
        <v>2737738.2</v>
      </c>
      <c r="AX39" s="3">
        <v>17676.48</v>
      </c>
      <c r="AY39" s="3">
        <v>337394.81</v>
      </c>
      <c r="AZ39" s="3">
        <f>AW39-AX39+AY39</f>
        <v>3057456.5300000003</v>
      </c>
      <c r="BA39" s="3">
        <f>AZ39/1000</f>
        <v>3057.4565300000004</v>
      </c>
      <c r="BC39" s="263">
        <v>2392778.6</v>
      </c>
      <c r="BD39" s="3">
        <v>7148.55</v>
      </c>
      <c r="BE39" s="3">
        <v>226020.29</v>
      </c>
      <c r="BF39" s="3">
        <f>BC39-BD39+BE39</f>
        <v>2611650.3400000003</v>
      </c>
      <c r="BG39" s="3">
        <f>BF39/1000</f>
        <v>2611.65034</v>
      </c>
      <c r="BI39" s="263">
        <v>2505993.24</v>
      </c>
      <c r="BJ39" s="3">
        <v>11117.219999999998</v>
      </c>
      <c r="BK39" s="3">
        <v>228659.74</v>
      </c>
      <c r="BL39" s="3">
        <f>BI39-BJ39+BK39</f>
        <v>2723535.76</v>
      </c>
      <c r="BM39" s="3">
        <f>BL39/1000</f>
        <v>2723.5357599999998</v>
      </c>
      <c r="BO39" s="263">
        <v>2534354.9400000004</v>
      </c>
      <c r="BP39" s="3">
        <v>14657.670000000004</v>
      </c>
      <c r="BQ39" s="3">
        <v>368941.21</v>
      </c>
      <c r="BR39" s="3">
        <f>BO39-BP39+BQ39</f>
        <v>2888638.4800000004</v>
      </c>
      <c r="BS39" s="3">
        <f>BR39/1000</f>
        <v>2888.6384800000005</v>
      </c>
    </row>
    <row r="40" spans="1:25" ht="12.75">
      <c r="A40" s="1" t="s">
        <v>297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W40" s="18"/>
      <c r="X40" s="7"/>
      <c r="Y40" s="7"/>
    </row>
    <row r="42" spans="16:18" ht="12.75">
      <c r="P42" s="14"/>
      <c r="Q42" s="14"/>
      <c r="R42" s="14"/>
    </row>
    <row r="43" spans="16:18" ht="12.75">
      <c r="P43" s="14"/>
      <c r="Q43" s="14"/>
      <c r="R43" s="14"/>
    </row>
    <row r="44" spans="16:18" ht="12.75">
      <c r="P44" s="14"/>
      <c r="Q44" s="14"/>
      <c r="R44" s="14"/>
    </row>
    <row r="45" spans="16:18" ht="12.75">
      <c r="P45" s="14"/>
      <c r="Q45" s="14"/>
      <c r="R45" s="14"/>
    </row>
    <row r="46" spans="16:18" ht="12.75">
      <c r="P46" s="14"/>
      <c r="Q46" s="14"/>
      <c r="R46" s="14"/>
    </row>
  </sheetData>
  <sheetProtection password="CAF5" sheet="1"/>
  <mergeCells count="1">
    <mergeCell ref="A4:M4"/>
  </mergeCells>
  <printOptions/>
  <pageMargins left="0.49" right="0.41" top="1" bottom="1" header="0.5" footer="0.5"/>
  <pageSetup fitToHeight="1" fitToWidth="1" orientation="landscape" scale="77" r:id="rId1"/>
  <headerFooter scaleWithDoc="0" alignWithMargins="0">
    <oddFooter>&amp;L&amp;"Arial,Italic"&amp;10MSDE-LFRO  10 / 2011&amp;C&amp;"Arial,Regular"&amp;10- 12 -&amp;R&amp;"Arial,Italic"&amp;10Selected Financial Data - Part 4</oddFooter>
  </headerFooter>
  <rowBreaks count="1" manualBreakCount="1">
    <brk id="4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3"/>
  <sheetViews>
    <sheetView workbookViewId="0" topLeftCell="A25">
      <selection activeCell="A41" sqref="A41"/>
    </sheetView>
  </sheetViews>
  <sheetFormatPr defaultColWidth="10.00390625" defaultRowHeight="15.75"/>
  <cols>
    <col min="1" max="1" width="12.875" style="1" customWidth="1"/>
    <col min="2" max="4" width="12.625" style="1" customWidth="1"/>
    <col min="5" max="5" width="11.375" style="1" customWidth="1"/>
    <col min="6" max="6" width="11.00390625" style="1" customWidth="1"/>
    <col min="7" max="7" width="10.625" style="1" customWidth="1"/>
    <col min="8" max="8" width="10.875" style="1" customWidth="1"/>
    <col min="9" max="9" width="11.00390625" style="1" customWidth="1"/>
    <col min="10" max="12" width="10.50390625" style="1" customWidth="1"/>
    <col min="13" max="13" width="9.125" style="1" customWidth="1"/>
    <col min="14" max="14" width="10.25390625" style="1" bestFit="1" customWidth="1"/>
    <col min="15" max="15" width="13.375" style="1" customWidth="1"/>
    <col min="16" max="21" width="10.125" style="1" customWidth="1"/>
    <col min="22" max="22" width="10.125" style="3" customWidth="1"/>
    <col min="23" max="23" width="11.25390625" style="1" customWidth="1"/>
    <col min="24" max="25" width="12.375" style="3" customWidth="1"/>
    <col min="26" max="26" width="12.625" style="1" customWidth="1"/>
    <col min="27" max="29" width="12.375" style="3" customWidth="1"/>
    <col min="30" max="30" width="5.25390625" style="3" customWidth="1"/>
    <col min="31" max="31" width="11.25390625" style="3" customWidth="1"/>
    <col min="32" max="32" width="11.125" style="3" customWidth="1"/>
    <col min="33" max="33" width="11.375" style="3" customWidth="1"/>
    <col min="34" max="36" width="10.125" style="3" customWidth="1"/>
    <col min="37" max="37" width="10.75390625" style="3" bestFit="1" customWidth="1"/>
    <col min="38" max="40" width="10.125" style="3" customWidth="1"/>
    <col min="41" max="41" width="11.375" style="3" customWidth="1"/>
    <col min="42" max="42" width="4.125" style="3" customWidth="1"/>
    <col min="43" max="44" width="10.00390625" style="3" customWidth="1"/>
    <col min="45" max="45" width="10.75390625" style="3" bestFit="1" customWidth="1"/>
    <col min="46" max="46" width="3.125" style="3" customWidth="1"/>
    <col min="47" max="48" width="10.00390625" style="3" customWidth="1"/>
    <col min="49" max="49" width="10.75390625" style="3" bestFit="1" customWidth="1"/>
    <col min="50" max="50" width="10.00390625" style="3" customWidth="1"/>
    <col min="51" max="51" width="13.625" style="3" bestFit="1" customWidth="1"/>
    <col min="52" max="52" width="8.50390625" style="3" bestFit="1" customWidth="1"/>
    <col min="53" max="53" width="10.75390625" style="3" bestFit="1" customWidth="1"/>
    <col min="54" max="54" width="10.00390625" style="3" customWidth="1"/>
    <col min="55" max="55" width="11.50390625" style="3" customWidth="1"/>
    <col min="56" max="56" width="10.75390625" style="3" bestFit="1" customWidth="1"/>
    <col min="57" max="57" width="12.125" style="3" customWidth="1"/>
    <col min="58" max="16384" width="10.00390625" style="3" customWidth="1"/>
  </cols>
  <sheetData>
    <row r="1" spans="1:26" ht="15.75" customHeight="1">
      <c r="A1" s="314" t="s">
        <v>96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115"/>
      <c r="O1" s="10"/>
      <c r="Q1" s="2"/>
      <c r="R1" s="2"/>
      <c r="S1" s="2"/>
      <c r="W1" s="115"/>
      <c r="Z1" s="115"/>
    </row>
    <row r="2" spans="1:26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2"/>
      <c r="Q2" s="2"/>
      <c r="R2" s="2"/>
      <c r="S2" s="2"/>
      <c r="W2" s="115"/>
      <c r="Z2" s="115"/>
    </row>
    <row r="3" spans="1:26" ht="12.75">
      <c r="A3" s="314" t="s">
        <v>56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115"/>
      <c r="O3" s="10"/>
      <c r="Q3" s="2"/>
      <c r="R3" s="2"/>
      <c r="S3" s="2"/>
      <c r="W3" s="115"/>
      <c r="Z3" s="115"/>
    </row>
    <row r="4" spans="1:38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201"/>
      <c r="P4" s="201"/>
      <c r="Q4" s="10"/>
      <c r="V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</row>
    <row r="5" ht="13.5" thickBot="1"/>
    <row r="6" spans="1:55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7"/>
      <c r="AE6" s="319" t="s">
        <v>201</v>
      </c>
      <c r="AF6" s="319"/>
      <c r="AG6" s="319"/>
      <c r="AI6" s="319" t="s">
        <v>202</v>
      </c>
      <c r="AJ6" s="319"/>
      <c r="AK6" s="319"/>
      <c r="AM6" s="319" t="s">
        <v>217</v>
      </c>
      <c r="AN6" s="319"/>
      <c r="AO6" s="319"/>
      <c r="AQ6" s="319" t="s">
        <v>250</v>
      </c>
      <c r="AR6" s="319"/>
      <c r="AS6" s="319"/>
      <c r="AU6" s="319" t="s">
        <v>262</v>
      </c>
      <c r="AV6" s="319"/>
      <c r="AW6" s="319"/>
      <c r="AY6" s="3" t="s">
        <v>276</v>
      </c>
      <c r="BC6" s="3" t="s">
        <v>289</v>
      </c>
    </row>
    <row r="7" spans="12:57" ht="12.75">
      <c r="L7" s="315" t="s">
        <v>34</v>
      </c>
      <c r="M7" s="336"/>
      <c r="V7" s="1"/>
      <c r="X7" s="1"/>
      <c r="Y7" s="1"/>
      <c r="AA7" s="1"/>
      <c r="AB7" s="1"/>
      <c r="AC7" s="1"/>
      <c r="AD7" s="1"/>
      <c r="AE7" s="39" t="s">
        <v>141</v>
      </c>
      <c r="AF7" s="3" t="s">
        <v>142</v>
      </c>
      <c r="AG7" s="20" t="s">
        <v>112</v>
      </c>
      <c r="AI7" s="39" t="s">
        <v>141</v>
      </c>
      <c r="AJ7" s="3" t="s">
        <v>142</v>
      </c>
      <c r="AK7" s="20" t="s">
        <v>112</v>
      </c>
      <c r="AM7" s="39" t="s">
        <v>141</v>
      </c>
      <c r="AN7" s="3" t="s">
        <v>142</v>
      </c>
      <c r="AO7" s="20" t="s">
        <v>112</v>
      </c>
      <c r="AQ7" s="39" t="s">
        <v>141</v>
      </c>
      <c r="AR7" s="3" t="s">
        <v>142</v>
      </c>
      <c r="AS7" s="20" t="s">
        <v>112</v>
      </c>
      <c r="AU7" s="39" t="s">
        <v>141</v>
      </c>
      <c r="AV7" s="3" t="s">
        <v>142</v>
      </c>
      <c r="AW7" s="20" t="s">
        <v>112</v>
      </c>
      <c r="AY7" s="3" t="s">
        <v>141</v>
      </c>
      <c r="AZ7" s="3" t="s">
        <v>142</v>
      </c>
      <c r="BA7" s="3" t="s">
        <v>112</v>
      </c>
      <c r="BC7" s="3" t="s">
        <v>141</v>
      </c>
      <c r="BD7" s="3" t="s">
        <v>142</v>
      </c>
      <c r="BE7" s="3" t="s">
        <v>112</v>
      </c>
    </row>
    <row r="8" spans="2:57" ht="12.75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V8" s="1"/>
      <c r="X8" s="1"/>
      <c r="Y8" s="1"/>
      <c r="AA8" s="1"/>
      <c r="AB8" s="1"/>
      <c r="AC8" s="7"/>
      <c r="AD8" s="1"/>
      <c r="AE8" s="39"/>
      <c r="AF8" s="39"/>
      <c r="AG8" s="20" t="s">
        <v>191</v>
      </c>
      <c r="AI8" s="39"/>
      <c r="AJ8" s="39"/>
      <c r="AK8" s="20" t="s">
        <v>218</v>
      </c>
      <c r="AM8" s="39"/>
      <c r="AN8" s="39"/>
      <c r="AO8" s="20" t="s">
        <v>219</v>
      </c>
      <c r="AQ8" s="39"/>
      <c r="AR8" s="39"/>
      <c r="AS8" s="20" t="s">
        <v>219</v>
      </c>
      <c r="AU8" s="39"/>
      <c r="AV8" s="39"/>
      <c r="AW8" s="20" t="s">
        <v>263</v>
      </c>
      <c r="BA8" s="3" t="s">
        <v>277</v>
      </c>
      <c r="BE8" s="3" t="s">
        <v>290</v>
      </c>
    </row>
    <row r="9" spans="1:57" ht="13.5" thickBot="1">
      <c r="A9" s="8" t="s">
        <v>1</v>
      </c>
      <c r="B9" s="9" t="s">
        <v>105</v>
      </c>
      <c r="C9" s="9" t="s">
        <v>161</v>
      </c>
      <c r="D9" s="9" t="s">
        <v>168</v>
      </c>
      <c r="E9" s="9" t="s">
        <v>184</v>
      </c>
      <c r="F9" s="9" t="s">
        <v>194</v>
      </c>
      <c r="G9" s="9" t="s">
        <v>208</v>
      </c>
      <c r="H9" s="9" t="s">
        <v>243</v>
      </c>
      <c r="I9" s="9" t="s">
        <v>256</v>
      </c>
      <c r="J9" s="9" t="s">
        <v>269</v>
      </c>
      <c r="K9" s="9" t="s">
        <v>284</v>
      </c>
      <c r="L9" s="9" t="s">
        <v>84</v>
      </c>
      <c r="M9" s="9" t="s">
        <v>84</v>
      </c>
      <c r="N9" s="9" t="s">
        <v>42</v>
      </c>
      <c r="O9" s="9" t="s">
        <v>57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9" t="s">
        <v>63</v>
      </c>
      <c r="V9" s="9" t="s">
        <v>41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4"/>
      <c r="AE9" s="108" t="s">
        <v>140</v>
      </c>
      <c r="AF9" s="108" t="s">
        <v>140</v>
      </c>
      <c r="AG9" s="40" t="s">
        <v>140</v>
      </c>
      <c r="AI9" s="108" t="s">
        <v>140</v>
      </c>
      <c r="AJ9" s="108" t="s">
        <v>140</v>
      </c>
      <c r="AK9" s="40" t="s">
        <v>140</v>
      </c>
      <c r="AM9" s="108" t="s">
        <v>140</v>
      </c>
      <c r="AN9" s="108" t="s">
        <v>140</v>
      </c>
      <c r="AO9" s="40" t="s">
        <v>140</v>
      </c>
      <c r="AQ9" s="108" t="s">
        <v>140</v>
      </c>
      <c r="AR9" s="108" t="s">
        <v>140</v>
      </c>
      <c r="AS9" s="40" t="s">
        <v>140</v>
      </c>
      <c r="AU9" s="108" t="s">
        <v>140</v>
      </c>
      <c r="AV9" s="108" t="s">
        <v>140</v>
      </c>
      <c r="AW9" s="40" t="s">
        <v>140</v>
      </c>
      <c r="AY9" s="3" t="s">
        <v>140</v>
      </c>
      <c r="AZ9" s="3" t="s">
        <v>140</v>
      </c>
      <c r="BA9" s="3" t="s">
        <v>140</v>
      </c>
      <c r="BC9" s="3" t="s">
        <v>140</v>
      </c>
      <c r="BD9" s="3" t="s">
        <v>140</v>
      </c>
      <c r="BE9" s="3" t="s">
        <v>140</v>
      </c>
    </row>
    <row r="10" spans="1:57" ht="12.75">
      <c r="A10" s="7" t="s">
        <v>5</v>
      </c>
      <c r="B10" s="11">
        <v>40250267</v>
      </c>
      <c r="C10" s="11">
        <v>45347904</v>
      </c>
      <c r="D10" s="11">
        <v>51321322</v>
      </c>
      <c r="E10" s="11">
        <v>62297771</v>
      </c>
      <c r="F10" s="11">
        <v>57147190</v>
      </c>
      <c r="G10" s="11">
        <v>61501348.120000005</v>
      </c>
      <c r="H10" s="11">
        <v>56154723.239999995</v>
      </c>
      <c r="I10" s="11">
        <v>51280107.42999999</v>
      </c>
      <c r="J10" s="11">
        <v>44539654.52999998</v>
      </c>
      <c r="K10" s="11">
        <f>SUM(K12:K39)</f>
        <v>45717573.66</v>
      </c>
      <c r="L10" s="244">
        <f>(K10-J10)*100/J10</f>
        <v>2.644652596500546</v>
      </c>
      <c r="M10" s="244">
        <f>(K10-AC10)*100/AC10</f>
        <v>-7.744462936217355</v>
      </c>
      <c r="N10" s="11">
        <f aca="true" t="shared" si="0" ref="N10:T10">SUM(N12:N39)</f>
        <v>14453000</v>
      </c>
      <c r="O10" s="11">
        <f t="shared" si="0"/>
        <v>16174031</v>
      </c>
      <c r="P10" s="11">
        <f t="shared" si="0"/>
        <v>17417163</v>
      </c>
      <c r="Q10" s="11">
        <f t="shared" si="0"/>
        <v>21866586</v>
      </c>
      <c r="R10" s="11">
        <f t="shared" si="0"/>
        <v>21943898</v>
      </c>
      <c r="S10" s="11">
        <f t="shared" si="0"/>
        <v>21756490</v>
      </c>
      <c r="T10" s="11">
        <f t="shared" si="0"/>
        <v>25654784</v>
      </c>
      <c r="U10" s="11">
        <f aca="true" t="shared" si="1" ref="U10:Z10">SUM(U12:U39)</f>
        <v>24422352</v>
      </c>
      <c r="V10" s="11">
        <f t="shared" si="1"/>
        <v>22661347</v>
      </c>
      <c r="W10" s="11">
        <f t="shared" si="1"/>
        <v>25086948</v>
      </c>
      <c r="X10" s="11">
        <f t="shared" si="1"/>
        <v>27257048</v>
      </c>
      <c r="Y10" s="11">
        <f t="shared" si="1"/>
        <v>22377515</v>
      </c>
      <c r="Z10" s="11">
        <f t="shared" si="1"/>
        <v>27612874</v>
      </c>
      <c r="AA10" s="11">
        <f>SUM(AA12:AA39)</f>
        <v>30331118</v>
      </c>
      <c r="AB10" s="11">
        <f>SUM(AB12:AB39)</f>
        <v>43185145</v>
      </c>
      <c r="AC10" s="11">
        <f>SUM(AC12:AC39)</f>
        <v>49555371</v>
      </c>
      <c r="AD10" s="11"/>
      <c r="AE10" s="104">
        <f>SUM(AE12:AE39)</f>
        <v>61256629.04000001</v>
      </c>
      <c r="AF10" s="106">
        <f>SUM(AF12:AF39)</f>
        <v>1041141.7300000001</v>
      </c>
      <c r="AG10" s="106">
        <f>SUM(AG12:AG39)</f>
        <v>62297770.77</v>
      </c>
      <c r="AI10" s="104">
        <f>SUM(AI12:AI39)</f>
        <v>56658825.18</v>
      </c>
      <c r="AJ10" s="106">
        <f>SUM(AJ12:AJ39)</f>
        <v>488366.05000000005</v>
      </c>
      <c r="AK10" s="106">
        <f>SUM(AK12:AK39)</f>
        <v>57147191.23</v>
      </c>
      <c r="AM10" s="104">
        <f>SUM(AM12:AM39)</f>
        <v>59926153.300000004</v>
      </c>
      <c r="AN10" s="106">
        <f>SUM(AN12:AN39)</f>
        <v>1575194.82</v>
      </c>
      <c r="AO10" s="106">
        <f>SUM(AO12:AO39)</f>
        <v>61501348.120000005</v>
      </c>
      <c r="AQ10" s="104">
        <f>SUM(AQ12:AQ39)</f>
        <v>55217221.75000001</v>
      </c>
      <c r="AR10" s="106">
        <f>SUM(AR12:AR39)</f>
        <v>937501.49</v>
      </c>
      <c r="AS10" s="106">
        <f>SUM(AS12:AS39)</f>
        <v>56154723.239999995</v>
      </c>
      <c r="AU10" s="104">
        <f>SUM(AU12:AU39)</f>
        <v>50617998.46</v>
      </c>
      <c r="AV10" s="106">
        <f>SUM(AV12:AV39)</f>
        <v>662108.9700000001</v>
      </c>
      <c r="AW10" s="106">
        <f>SUM(AW12:AW39)</f>
        <v>51280107.42999999</v>
      </c>
      <c r="AY10" s="106">
        <f>SUM(AY12:AY39)</f>
        <v>43848033.68000001</v>
      </c>
      <c r="AZ10" s="106">
        <f>SUM(AZ12:AZ39)</f>
        <v>691620.85</v>
      </c>
      <c r="BA10" s="106">
        <f>SUM(BA12:BA39)</f>
        <v>44539654.52999998</v>
      </c>
      <c r="BC10" s="106">
        <f>SUM(BC12:BC39)</f>
        <v>44896929.00000001</v>
      </c>
      <c r="BD10" s="106">
        <f>SUM(BD12:BD39)</f>
        <v>820644.6600000001</v>
      </c>
      <c r="BE10" s="106">
        <f>SUM(BE12:BE39)</f>
        <v>45717573.66</v>
      </c>
    </row>
    <row r="11" spans="13:56" ht="12.75">
      <c r="M11" s="244"/>
      <c r="O11" s="14"/>
      <c r="R11" s="14"/>
      <c r="S11" s="14"/>
      <c r="V11" s="1"/>
      <c r="X11" s="36"/>
      <c r="Y11" s="14"/>
      <c r="Z11" s="14"/>
      <c r="AA11" s="30"/>
      <c r="AB11" s="1"/>
      <c r="AC11" s="1"/>
      <c r="AD11" s="14"/>
      <c r="AE11" s="105"/>
      <c r="BD11" s="296"/>
    </row>
    <row r="12" spans="1:57" ht="12.75">
      <c r="A12" s="1" t="s">
        <v>6</v>
      </c>
      <c r="B12" s="1">
        <v>179579</v>
      </c>
      <c r="C12" s="1">
        <v>341622</v>
      </c>
      <c r="D12" s="1">
        <v>379866</v>
      </c>
      <c r="E12" s="1">
        <v>1688389</v>
      </c>
      <c r="F12" s="1">
        <v>988840</v>
      </c>
      <c r="G12" s="1">
        <v>236621.8</v>
      </c>
      <c r="H12" s="1">
        <v>100606.1</v>
      </c>
      <c r="I12" s="1">
        <v>327768.69</v>
      </c>
      <c r="J12" s="1">
        <v>602505.44</v>
      </c>
      <c r="K12" s="1">
        <v>743498.4</v>
      </c>
      <c r="L12" s="244">
        <f>(K12-J12)*100/J12</f>
        <v>23.401109872136605</v>
      </c>
      <c r="M12" s="244">
        <f>(K12-AC12)*100/AC12</f>
        <v>332.26902481991175</v>
      </c>
      <c r="N12" s="14">
        <v>252051</v>
      </c>
      <c r="O12" s="14">
        <v>243674</v>
      </c>
      <c r="P12" s="14">
        <v>226237</v>
      </c>
      <c r="Q12" s="27">
        <v>208673</v>
      </c>
      <c r="R12" s="27">
        <v>254869</v>
      </c>
      <c r="S12" s="27">
        <v>199980</v>
      </c>
      <c r="T12" s="27">
        <v>436773</v>
      </c>
      <c r="U12" s="27">
        <v>242620</v>
      </c>
      <c r="V12" s="27">
        <v>320431</v>
      </c>
      <c r="W12" s="27">
        <v>294766</v>
      </c>
      <c r="X12" s="36">
        <v>279817</v>
      </c>
      <c r="Y12" s="14">
        <v>299521</v>
      </c>
      <c r="Z12" s="14">
        <v>430603</v>
      </c>
      <c r="AA12" s="80">
        <v>444388</v>
      </c>
      <c r="AB12" s="1">
        <v>65451</v>
      </c>
      <c r="AC12" s="1">
        <v>171999</v>
      </c>
      <c r="AD12" s="14"/>
      <c r="AE12" s="156">
        <v>1688389.45</v>
      </c>
      <c r="AF12" s="92">
        <v>0</v>
      </c>
      <c r="AG12" s="3">
        <f>SUM(AE12:AF12)</f>
        <v>1688389.45</v>
      </c>
      <c r="AI12" s="3">
        <v>988840</v>
      </c>
      <c r="AJ12" s="3">
        <v>0</v>
      </c>
      <c r="AK12" s="3">
        <f>SUM(AI12:AJ12)</f>
        <v>988840</v>
      </c>
      <c r="AM12" s="3">
        <v>236621.8</v>
      </c>
      <c r="AN12" s="3">
        <v>0</v>
      </c>
      <c r="AO12" s="3">
        <f>SUM(AM12:AN12)</f>
        <v>236621.8</v>
      </c>
      <c r="AQ12" s="3">
        <v>100606.1</v>
      </c>
      <c r="AR12" s="3">
        <v>0</v>
      </c>
      <c r="AS12" s="3">
        <f>SUM(AQ12:AR12)</f>
        <v>100606.1</v>
      </c>
      <c r="AU12" s="3">
        <v>327768.69</v>
      </c>
      <c r="AV12" s="3">
        <v>0</v>
      </c>
      <c r="AW12" s="3">
        <f>SUM(AU12:AV12)</f>
        <v>327768.69</v>
      </c>
      <c r="AY12" s="3">
        <v>602505.44</v>
      </c>
      <c r="AZ12" s="3">
        <v>0</v>
      </c>
      <c r="BA12" s="3">
        <f>SUM(AY12:AZ12)</f>
        <v>602505.44</v>
      </c>
      <c r="BC12" s="3">
        <v>743498.4</v>
      </c>
      <c r="BD12" s="3">
        <v>0</v>
      </c>
      <c r="BE12" s="3">
        <f>SUM(BC12:BD12)</f>
        <v>743498.4</v>
      </c>
    </row>
    <row r="13" spans="1:57" ht="12.75">
      <c r="A13" s="1" t="s">
        <v>7</v>
      </c>
      <c r="B13" s="1">
        <v>2173777</v>
      </c>
      <c r="C13" s="1">
        <v>2848337</v>
      </c>
      <c r="D13" s="1">
        <v>4946691</v>
      </c>
      <c r="E13" s="1">
        <v>8060169</v>
      </c>
      <c r="F13" s="1">
        <v>7203477</v>
      </c>
      <c r="G13" s="1">
        <v>1110162.3</v>
      </c>
      <c r="H13" s="1">
        <v>2084223.7</v>
      </c>
      <c r="I13" s="1">
        <v>1481180.17</v>
      </c>
      <c r="J13" s="1">
        <v>1393542.73</v>
      </c>
      <c r="K13" s="1">
        <v>1481035.4000000001</v>
      </c>
      <c r="L13" s="244">
        <f>(K13-J13)*100/J13</f>
        <v>6.278434677062264</v>
      </c>
      <c r="M13" s="244">
        <f>(K13-AC13)*100/AC13</f>
        <v>-37.01953453403011</v>
      </c>
      <c r="N13" s="14">
        <v>982597</v>
      </c>
      <c r="O13" s="14">
        <v>1354757</v>
      </c>
      <c r="P13" s="14">
        <v>1523315</v>
      </c>
      <c r="Q13" s="27">
        <v>1496763</v>
      </c>
      <c r="R13" s="27">
        <v>1192255</v>
      </c>
      <c r="S13" s="27">
        <v>1207395</v>
      </c>
      <c r="T13" s="27">
        <v>1189931</v>
      </c>
      <c r="U13" s="27">
        <v>1075666</v>
      </c>
      <c r="V13" s="27">
        <f>1531190+2160</f>
        <v>1533350</v>
      </c>
      <c r="W13" s="27">
        <f>1401492+784</f>
        <v>1402276</v>
      </c>
      <c r="X13" s="36">
        <f>1574003+6010</f>
        <v>1580013</v>
      </c>
      <c r="Y13" s="14">
        <f>1885491+8170</f>
        <v>1893661</v>
      </c>
      <c r="Z13" s="14">
        <v>1950712</v>
      </c>
      <c r="AA13" s="80">
        <v>1761648</v>
      </c>
      <c r="AB13" s="1">
        <v>1092137</v>
      </c>
      <c r="AC13" s="1">
        <v>2351579</v>
      </c>
      <c r="AD13" s="14"/>
      <c r="AE13" s="156">
        <v>8006787</v>
      </c>
      <c r="AF13" s="92">
        <v>53381.59</v>
      </c>
      <c r="AG13" s="3">
        <f>SUM(AE13:AF13)</f>
        <v>8060168.59</v>
      </c>
      <c r="AI13" s="3">
        <v>7199753</v>
      </c>
      <c r="AJ13" s="3">
        <v>3724.06</v>
      </c>
      <c r="AK13" s="3">
        <f>SUM(AI13:AJ13)</f>
        <v>7203477.06</v>
      </c>
      <c r="AM13" s="3">
        <v>1109078.8</v>
      </c>
      <c r="AN13" s="3">
        <v>1083.5</v>
      </c>
      <c r="AO13" s="3">
        <f>SUM(AM13:AN13)</f>
        <v>1110162.3</v>
      </c>
      <c r="AQ13" s="3">
        <v>2083712.42</v>
      </c>
      <c r="AR13" s="3">
        <v>511.28</v>
      </c>
      <c r="AS13" s="3">
        <f>SUM(AQ13:AR13)</f>
        <v>2084223.7</v>
      </c>
      <c r="AU13" s="3">
        <v>1463940.63</v>
      </c>
      <c r="AV13" s="3">
        <v>17239.54</v>
      </c>
      <c r="AW13" s="3">
        <f>SUM(AU13:AV13)</f>
        <v>1481180.17</v>
      </c>
      <c r="AY13" s="3">
        <v>1355142.48</v>
      </c>
      <c r="AZ13" s="3">
        <v>38400.25</v>
      </c>
      <c r="BA13" s="3">
        <f>SUM(AY13:AZ13)</f>
        <v>1393542.73</v>
      </c>
      <c r="BC13" s="3">
        <v>1442146.9000000001</v>
      </c>
      <c r="BD13" s="3">
        <v>38888.5</v>
      </c>
      <c r="BE13" s="3">
        <f>SUM(BC13:BD13)</f>
        <v>1481035.4000000001</v>
      </c>
    </row>
    <row r="14" spans="1:57" ht="12.75">
      <c r="A14" s="1" t="s">
        <v>8</v>
      </c>
      <c r="B14" s="1">
        <v>2373424</v>
      </c>
      <c r="C14" s="1">
        <v>1845478</v>
      </c>
      <c r="D14" s="1">
        <v>1565915</v>
      </c>
      <c r="E14" s="1">
        <v>6724822</v>
      </c>
      <c r="F14" s="1">
        <v>12877959</v>
      </c>
      <c r="G14" s="1">
        <v>13257466.74</v>
      </c>
      <c r="H14" s="1">
        <v>12221977.930000002</v>
      </c>
      <c r="I14" s="1">
        <v>13112468.58</v>
      </c>
      <c r="J14" s="1">
        <v>5531658.46</v>
      </c>
      <c r="K14" s="1">
        <v>4328106.64</v>
      </c>
      <c r="L14" s="244">
        <f>(K14-J14)*100/J14</f>
        <v>-21.757522245869104</v>
      </c>
      <c r="M14" s="244">
        <f>(K14-AC14)*100/AC14</f>
        <v>-63.0375372401728</v>
      </c>
      <c r="N14" s="14">
        <v>2205890</v>
      </c>
      <c r="O14" s="14">
        <v>2527057</v>
      </c>
      <c r="P14" s="14">
        <v>2456944</v>
      </c>
      <c r="Q14" s="27">
        <v>5486991</v>
      </c>
      <c r="R14" s="27">
        <v>5064943</v>
      </c>
      <c r="S14" s="27">
        <v>2620966</v>
      </c>
      <c r="T14" s="27">
        <v>4700991</v>
      </c>
      <c r="U14" s="27">
        <v>4623332</v>
      </c>
      <c r="V14" s="27">
        <f>3727351+53504</f>
        <v>3780855</v>
      </c>
      <c r="W14" s="27">
        <f>3270978+69890</f>
        <v>3340868</v>
      </c>
      <c r="X14" s="36">
        <f>2790141+104580</f>
        <v>2894721</v>
      </c>
      <c r="Y14" s="14">
        <f>2026439+109631</f>
        <v>2136070</v>
      </c>
      <c r="Z14" s="14">
        <v>2429914</v>
      </c>
      <c r="AA14" s="80">
        <v>4723944</v>
      </c>
      <c r="AB14" s="1">
        <v>12482285</v>
      </c>
      <c r="AC14" s="1">
        <v>11709465</v>
      </c>
      <c r="AD14" s="14"/>
      <c r="AE14" s="156">
        <v>6723547</v>
      </c>
      <c r="AF14" s="92">
        <v>1274.89</v>
      </c>
      <c r="AG14" s="3">
        <f>SUM(AE14:AF14)</f>
        <v>6724821.89</v>
      </c>
      <c r="AI14" s="3">
        <v>12876760</v>
      </c>
      <c r="AJ14" s="3">
        <v>1198.93</v>
      </c>
      <c r="AK14" s="3">
        <f>SUM(AI14:AJ14)</f>
        <v>12877958.93</v>
      </c>
      <c r="AM14" s="3">
        <v>13241616.23</v>
      </c>
      <c r="AN14" s="3">
        <v>15850.51</v>
      </c>
      <c r="AO14" s="3">
        <f>SUM(AM14:AN14)</f>
        <v>13257466.74</v>
      </c>
      <c r="AQ14" s="3">
        <v>12221977.930000002</v>
      </c>
      <c r="AR14" s="3">
        <v>0</v>
      </c>
      <c r="AS14" s="3">
        <f>SUM(AQ14:AR14)</f>
        <v>12221977.930000002</v>
      </c>
      <c r="AU14" s="3">
        <v>13111990.52</v>
      </c>
      <c r="AV14" s="3">
        <v>478.06</v>
      </c>
      <c r="AW14" s="3">
        <f>SUM(AU14:AV14)</f>
        <v>13112468.58</v>
      </c>
      <c r="AY14" s="3">
        <v>5412360.2</v>
      </c>
      <c r="AZ14" s="3">
        <v>119298.26000000001</v>
      </c>
      <c r="BA14" s="3">
        <f>SUM(AY14:AZ14)</f>
        <v>5531658.46</v>
      </c>
      <c r="BC14" s="3">
        <v>4290344.02</v>
      </c>
      <c r="BD14" s="3">
        <v>37762.62</v>
      </c>
      <c r="BE14" s="3">
        <f>SUM(BC14:BD14)</f>
        <v>4328106.64</v>
      </c>
    </row>
    <row r="15" spans="1:57" ht="12.75">
      <c r="A15" s="1" t="s">
        <v>9</v>
      </c>
      <c r="B15" s="1">
        <v>5875640</v>
      </c>
      <c r="C15" s="1">
        <v>9409969</v>
      </c>
      <c r="D15" s="1">
        <v>6571893</v>
      </c>
      <c r="E15" s="1">
        <v>5407438</v>
      </c>
      <c r="F15" s="1">
        <v>4745258</v>
      </c>
      <c r="G15" s="1">
        <v>4812138.96</v>
      </c>
      <c r="H15" s="1">
        <v>9484543.79</v>
      </c>
      <c r="I15" s="1">
        <v>5288180.25</v>
      </c>
      <c r="J15" s="1">
        <v>8077677.840000001</v>
      </c>
      <c r="K15" s="1">
        <v>12764682.190000001</v>
      </c>
      <c r="L15" s="244">
        <f>(K15-J15)*100/J15</f>
        <v>58.0241554916976</v>
      </c>
      <c r="M15" s="244">
        <f>(K15-AC15)*100/AC15</f>
        <v>61.90928833229663</v>
      </c>
      <c r="N15" s="14">
        <v>1983450</v>
      </c>
      <c r="O15" s="14">
        <v>2028874</v>
      </c>
      <c r="P15" s="14">
        <v>2438845</v>
      </c>
      <c r="Q15" s="27">
        <v>2383626</v>
      </c>
      <c r="R15" s="27">
        <v>2404151</v>
      </c>
      <c r="S15" s="27">
        <v>2733527</v>
      </c>
      <c r="T15" s="27">
        <v>3388696</v>
      </c>
      <c r="U15" s="27">
        <v>3195741</v>
      </c>
      <c r="V15" s="27">
        <f>923066+91816</f>
        <v>1014882</v>
      </c>
      <c r="W15" s="27">
        <f>3596268+59189</f>
        <v>3655457</v>
      </c>
      <c r="X15" s="36">
        <f>5289481+85062</f>
        <v>5374543</v>
      </c>
      <c r="Y15" s="14">
        <f>656867+81479</f>
        <v>738346</v>
      </c>
      <c r="Z15" s="14">
        <v>5295960</v>
      </c>
      <c r="AA15" s="80">
        <v>4257488</v>
      </c>
      <c r="AB15" s="1">
        <v>5362580</v>
      </c>
      <c r="AC15" s="1">
        <v>7883848</v>
      </c>
      <c r="AD15" s="14"/>
      <c r="AE15" s="156">
        <v>5267603.62</v>
      </c>
      <c r="AF15" s="156">
        <v>139834.09</v>
      </c>
      <c r="AG15" s="3">
        <f>SUM(AE15:AF15)</f>
        <v>5407437.71</v>
      </c>
      <c r="AI15" s="3">
        <v>4673679.08</v>
      </c>
      <c r="AJ15" s="3">
        <v>71579.16</v>
      </c>
      <c r="AK15" s="3">
        <f>SUM(AI15:AJ15)</f>
        <v>4745258.24</v>
      </c>
      <c r="AM15" s="3">
        <v>4619705.37</v>
      </c>
      <c r="AN15" s="3">
        <v>192433.59</v>
      </c>
      <c r="AO15" s="3">
        <f>SUM(AM15:AN15)</f>
        <v>4812138.96</v>
      </c>
      <c r="AQ15" s="3">
        <v>9397716.85</v>
      </c>
      <c r="AR15" s="3">
        <v>86826.94</v>
      </c>
      <c r="AS15" s="3">
        <f>SUM(AQ15:AR15)</f>
        <v>9484543.79</v>
      </c>
      <c r="AU15" s="3">
        <v>5193815.68</v>
      </c>
      <c r="AV15" s="3">
        <v>94364.57</v>
      </c>
      <c r="AW15" s="3">
        <f>SUM(AU15:AV15)</f>
        <v>5288180.25</v>
      </c>
      <c r="AY15" s="3">
        <v>7984320.69</v>
      </c>
      <c r="AZ15" s="3">
        <v>93357.15</v>
      </c>
      <c r="BA15" s="3">
        <f>SUM(AY15:AZ15)</f>
        <v>8077677.840000001</v>
      </c>
      <c r="BC15" s="3">
        <v>12694370.740000002</v>
      </c>
      <c r="BD15" s="3">
        <v>70311.45</v>
      </c>
      <c r="BE15" s="3">
        <f>SUM(BC15:BD15)</f>
        <v>12764682.190000001</v>
      </c>
    </row>
    <row r="16" spans="1:57" ht="12.75">
      <c r="A16" s="1" t="s">
        <v>10</v>
      </c>
      <c r="B16" s="1">
        <v>1103933</v>
      </c>
      <c r="C16" s="1">
        <v>902856</v>
      </c>
      <c r="D16" s="1">
        <v>1249910</v>
      </c>
      <c r="E16" s="1">
        <v>999872</v>
      </c>
      <c r="F16" s="1">
        <v>820831</v>
      </c>
      <c r="G16" s="1">
        <v>972702.62</v>
      </c>
      <c r="H16" s="1">
        <v>1309155.43</v>
      </c>
      <c r="I16" s="1">
        <v>1184864.24</v>
      </c>
      <c r="J16" s="1">
        <v>516027.79</v>
      </c>
      <c r="K16" s="1">
        <v>345093.86000000004</v>
      </c>
      <c r="L16" s="244">
        <f>(K16-J16)*100/J16</f>
        <v>-33.1249466235142</v>
      </c>
      <c r="M16" s="244">
        <f>(K16-AC16)*100/AC16</f>
        <v>-63.31075946271792</v>
      </c>
      <c r="N16" s="14">
        <v>299012</v>
      </c>
      <c r="O16" s="14">
        <v>311121</v>
      </c>
      <c r="P16" s="14">
        <v>299153</v>
      </c>
      <c r="Q16" s="27">
        <v>334940</v>
      </c>
      <c r="R16" s="27">
        <v>391056</v>
      </c>
      <c r="S16" s="27">
        <v>445162</v>
      </c>
      <c r="T16" s="27">
        <v>521214</v>
      </c>
      <c r="U16" s="27">
        <v>601034</v>
      </c>
      <c r="V16" s="27">
        <f>776345+2458</f>
        <v>778803</v>
      </c>
      <c r="W16" s="27">
        <f>669001+34821</f>
        <v>703822</v>
      </c>
      <c r="X16" s="36">
        <f>690103+30634</f>
        <v>720737</v>
      </c>
      <c r="Y16" s="14">
        <f>706996+34012</f>
        <v>741008</v>
      </c>
      <c r="Z16" s="14">
        <v>580928</v>
      </c>
      <c r="AA16" s="80">
        <v>698536</v>
      </c>
      <c r="AB16" s="1">
        <v>636270</v>
      </c>
      <c r="AC16" s="1">
        <v>940586</v>
      </c>
      <c r="AD16" s="14"/>
      <c r="AE16" s="156">
        <v>959472</v>
      </c>
      <c r="AF16" s="158">
        <v>40400</v>
      </c>
      <c r="AG16" s="3">
        <f>SUM(AE16:AF16)</f>
        <v>999872</v>
      </c>
      <c r="AI16" s="3">
        <v>782288.84</v>
      </c>
      <c r="AJ16" s="3">
        <v>38542.34</v>
      </c>
      <c r="AK16" s="3">
        <f>SUM(AI16:AJ16)</f>
        <v>820831.1799999999</v>
      </c>
      <c r="AM16" s="3">
        <v>920266.62</v>
      </c>
      <c r="AN16" s="3">
        <v>52436</v>
      </c>
      <c r="AO16" s="3">
        <f>SUM(AM16:AN16)</f>
        <v>972702.62</v>
      </c>
      <c r="AQ16" s="3">
        <v>1233999.91</v>
      </c>
      <c r="AR16" s="3">
        <v>75155.52</v>
      </c>
      <c r="AS16" s="3">
        <f>SUM(AQ16:AR16)</f>
        <v>1309155.43</v>
      </c>
      <c r="AU16" s="3">
        <v>1060397.16</v>
      </c>
      <c r="AV16" s="3">
        <v>124467.08</v>
      </c>
      <c r="AW16" s="3">
        <f>SUM(AU16:AV16)</f>
        <v>1184864.24</v>
      </c>
      <c r="AY16" s="3">
        <v>453268.22</v>
      </c>
      <c r="AZ16" s="3">
        <v>62759.57</v>
      </c>
      <c r="BA16" s="3">
        <f>SUM(AY16:AZ16)</f>
        <v>516027.79</v>
      </c>
      <c r="BC16" s="3">
        <v>318449.60000000003</v>
      </c>
      <c r="BD16" s="3">
        <v>26644.26</v>
      </c>
      <c r="BE16" s="3">
        <f>SUM(BC16:BD16)</f>
        <v>345093.86000000004</v>
      </c>
    </row>
    <row r="17" spans="12:32" ht="12.75">
      <c r="L17" s="244"/>
      <c r="M17" s="244"/>
      <c r="N17" s="14"/>
      <c r="P17" s="14"/>
      <c r="Q17" s="27"/>
      <c r="R17" s="27"/>
      <c r="S17" s="27"/>
      <c r="T17" s="27"/>
      <c r="U17" s="27"/>
      <c r="V17" s="27"/>
      <c r="W17" s="27"/>
      <c r="X17" s="36"/>
      <c r="Y17" s="14"/>
      <c r="Z17" s="14"/>
      <c r="AA17" s="80">
        <v>0</v>
      </c>
      <c r="AB17" s="1"/>
      <c r="AC17" s="1"/>
      <c r="AD17" s="14"/>
      <c r="AE17" s="92"/>
      <c r="AF17" s="160"/>
    </row>
    <row r="18" spans="1:57" ht="12.75">
      <c r="A18" s="1" t="s">
        <v>11</v>
      </c>
      <c r="B18" s="1">
        <v>301392</v>
      </c>
      <c r="C18" s="1">
        <v>77348</v>
      </c>
      <c r="D18" s="1">
        <v>218757</v>
      </c>
      <c r="E18" s="1">
        <v>103405</v>
      </c>
      <c r="F18" s="1">
        <v>70301</v>
      </c>
      <c r="G18" s="1">
        <v>270875.43</v>
      </c>
      <c r="H18" s="1">
        <v>394949.48</v>
      </c>
      <c r="I18" s="1">
        <v>619135.93</v>
      </c>
      <c r="J18" s="1">
        <v>222572.23</v>
      </c>
      <c r="K18" s="1">
        <v>116394.37</v>
      </c>
      <c r="L18" s="244">
        <f>(K18-J18)*100/J18</f>
        <v>-47.704900112651075</v>
      </c>
      <c r="M18" s="244">
        <f>(K18-AC18)*100/AC18</f>
        <v>-61.0211447076277</v>
      </c>
      <c r="N18" s="14">
        <v>110769</v>
      </c>
      <c r="O18" s="14">
        <v>178969</v>
      </c>
      <c r="P18" s="14">
        <v>80672</v>
      </c>
      <c r="Q18" s="27">
        <v>215012</v>
      </c>
      <c r="R18" s="27">
        <v>271745</v>
      </c>
      <c r="S18" s="27">
        <v>275312</v>
      </c>
      <c r="T18" s="27">
        <v>319483</v>
      </c>
      <c r="U18" s="27">
        <v>251072</v>
      </c>
      <c r="V18" s="27">
        <f>324479+17882</f>
        <v>342361</v>
      </c>
      <c r="W18" s="27">
        <f>389726+16900</f>
        <v>406626</v>
      </c>
      <c r="X18" s="36">
        <f>358427+5877</f>
        <v>364304</v>
      </c>
      <c r="Y18" s="14">
        <f>227580+5274</f>
        <v>232854</v>
      </c>
      <c r="Z18" s="14">
        <v>318086</v>
      </c>
      <c r="AA18" s="80">
        <v>259011</v>
      </c>
      <c r="AB18" s="1">
        <v>148674</v>
      </c>
      <c r="AC18" s="1">
        <v>298609</v>
      </c>
      <c r="AD18" s="14"/>
      <c r="AE18" s="158">
        <v>100924.54</v>
      </c>
      <c r="AF18" s="158">
        <v>2480.88</v>
      </c>
      <c r="AG18" s="3">
        <f>SUM(AE18:AF18)</f>
        <v>103405.42</v>
      </c>
      <c r="AI18" s="3">
        <v>68707.17</v>
      </c>
      <c r="AJ18" s="3">
        <v>1593.34</v>
      </c>
      <c r="AK18" s="3">
        <f>SUM(AI18:AJ18)</f>
        <v>70300.51</v>
      </c>
      <c r="AM18" s="3">
        <v>269705.21</v>
      </c>
      <c r="AN18" s="3">
        <v>1170.22</v>
      </c>
      <c r="AO18" s="3">
        <f>SUM(AM18:AN18)</f>
        <v>270875.43</v>
      </c>
      <c r="AQ18" s="3">
        <v>394228.55</v>
      </c>
      <c r="AR18" s="3">
        <v>720.93</v>
      </c>
      <c r="AS18" s="3">
        <f>SUM(AQ18:AR18)</f>
        <v>394949.48</v>
      </c>
      <c r="AU18" s="3">
        <v>617953.79</v>
      </c>
      <c r="AV18" s="3">
        <v>1182.14</v>
      </c>
      <c r="AW18" s="3">
        <f>SUM(AU18:AV18)</f>
        <v>619135.93</v>
      </c>
      <c r="AY18" s="3">
        <v>222572.23</v>
      </c>
      <c r="AZ18" s="3">
        <v>0</v>
      </c>
      <c r="BA18" s="3">
        <f>SUM(AY18:AZ18)</f>
        <v>222572.23</v>
      </c>
      <c r="BC18" s="3">
        <v>116394.37</v>
      </c>
      <c r="BD18" s="3">
        <v>0</v>
      </c>
      <c r="BE18" s="3">
        <f>SUM(BC18:BD18)</f>
        <v>116394.37</v>
      </c>
    </row>
    <row r="19" spans="1:57" ht="12.75">
      <c r="A19" s="1" t="s">
        <v>12</v>
      </c>
      <c r="B19" s="1">
        <v>984398</v>
      </c>
      <c r="C19" s="1">
        <v>1487827</v>
      </c>
      <c r="D19" s="1">
        <v>2007741</v>
      </c>
      <c r="E19" s="1">
        <v>1479380</v>
      </c>
      <c r="F19" s="1">
        <v>2311487</v>
      </c>
      <c r="G19" s="1">
        <v>1342092.61</v>
      </c>
      <c r="H19" s="1">
        <v>1796581.04</v>
      </c>
      <c r="I19" s="1">
        <v>1453292.81</v>
      </c>
      <c r="J19" s="1">
        <v>1697988.76</v>
      </c>
      <c r="K19" s="1">
        <v>1774978.54</v>
      </c>
      <c r="L19" s="244">
        <f>(K19-J19)*100/J19</f>
        <v>4.534174890533435</v>
      </c>
      <c r="M19" s="244">
        <f>(K19-AC19)*100/AC19</f>
        <v>102.93609665134242</v>
      </c>
      <c r="N19" s="14">
        <v>463061</v>
      </c>
      <c r="O19" s="14">
        <v>492295</v>
      </c>
      <c r="P19" s="14">
        <v>501479</v>
      </c>
      <c r="Q19" s="27">
        <v>604270</v>
      </c>
      <c r="R19" s="27">
        <v>658629</v>
      </c>
      <c r="S19" s="27">
        <v>662321</v>
      </c>
      <c r="T19" s="27">
        <v>720849</v>
      </c>
      <c r="U19" s="27">
        <v>772193</v>
      </c>
      <c r="V19" s="27">
        <f>755434+23748</f>
        <v>779182</v>
      </c>
      <c r="W19" s="27">
        <f>786476+24737</f>
        <v>811213</v>
      </c>
      <c r="X19" s="36">
        <f>1174873+36333</f>
        <v>1211206</v>
      </c>
      <c r="Y19" s="14">
        <f>476446+23125</f>
        <v>499571</v>
      </c>
      <c r="Z19" s="14">
        <v>870324</v>
      </c>
      <c r="AA19" s="80">
        <v>719098</v>
      </c>
      <c r="AB19" s="1">
        <v>1172462</v>
      </c>
      <c r="AC19" s="1">
        <v>874649</v>
      </c>
      <c r="AD19" s="14"/>
      <c r="AE19" s="156">
        <v>1467988.6</v>
      </c>
      <c r="AF19" s="92">
        <v>11391.87</v>
      </c>
      <c r="AG19" s="3">
        <f>SUM(AE19:AF19)</f>
        <v>1479380.4700000002</v>
      </c>
      <c r="AI19" s="3">
        <v>2290730.09</v>
      </c>
      <c r="AJ19" s="3">
        <v>20757.14</v>
      </c>
      <c r="AK19" s="3">
        <f>SUM(AI19:AJ19)</f>
        <v>2311487.23</v>
      </c>
      <c r="AM19" s="3">
        <v>1335344.36</v>
      </c>
      <c r="AN19" s="3">
        <v>6748.25</v>
      </c>
      <c r="AO19" s="3">
        <f>SUM(AM19:AN19)</f>
        <v>1342092.61</v>
      </c>
      <c r="AQ19" s="3">
        <v>1795985.31</v>
      </c>
      <c r="AR19" s="3">
        <v>595.73</v>
      </c>
      <c r="AS19" s="3">
        <f>SUM(AQ19:AR19)</f>
        <v>1796581.04</v>
      </c>
      <c r="AU19" s="3">
        <v>1451638.62</v>
      </c>
      <c r="AV19" s="3">
        <v>1654.19</v>
      </c>
      <c r="AW19" s="3">
        <f>SUM(AU19:AV19)</f>
        <v>1453292.81</v>
      </c>
      <c r="AY19" s="3">
        <v>1696760.56</v>
      </c>
      <c r="AZ19" s="3">
        <v>1228.2</v>
      </c>
      <c r="BA19" s="3">
        <f>SUM(AY19:AZ19)</f>
        <v>1697988.76</v>
      </c>
      <c r="BC19" s="3">
        <v>1774766.6400000001</v>
      </c>
      <c r="BD19" s="3">
        <v>211.9</v>
      </c>
      <c r="BE19" s="3">
        <f>SUM(BC19:BD19)</f>
        <v>1774978.54</v>
      </c>
    </row>
    <row r="20" spans="1:57" ht="12.75">
      <c r="A20" s="1" t="s">
        <v>13</v>
      </c>
      <c r="B20" s="1">
        <v>525496</v>
      </c>
      <c r="C20" s="1">
        <v>664994</v>
      </c>
      <c r="D20" s="1">
        <v>1126656</v>
      </c>
      <c r="E20" s="1">
        <v>843057</v>
      </c>
      <c r="F20" s="1">
        <v>906806</v>
      </c>
      <c r="G20" s="1">
        <v>818925.82</v>
      </c>
      <c r="H20" s="1">
        <v>703840.5</v>
      </c>
      <c r="I20" s="1">
        <v>611049.28</v>
      </c>
      <c r="J20" s="1">
        <v>1374182.8</v>
      </c>
      <c r="K20" s="1">
        <v>678504.1</v>
      </c>
      <c r="L20" s="244">
        <f>(K20-J20)*100/J20</f>
        <v>-50.6249023055739</v>
      </c>
      <c r="M20" s="244">
        <f>(K20-AC20)*100/AC20</f>
        <v>47.68421235925463</v>
      </c>
      <c r="N20" s="14">
        <v>345992</v>
      </c>
      <c r="O20" s="14">
        <v>247733</v>
      </c>
      <c r="P20" s="14">
        <v>196257</v>
      </c>
      <c r="Q20" s="27">
        <v>442048</v>
      </c>
      <c r="R20" s="27">
        <v>472914</v>
      </c>
      <c r="S20" s="27">
        <v>506597</v>
      </c>
      <c r="T20" s="27">
        <v>407346</v>
      </c>
      <c r="U20" s="27">
        <v>716046</v>
      </c>
      <c r="V20" s="27">
        <f>400311+28640</f>
        <v>428951</v>
      </c>
      <c r="W20" s="27">
        <f>467886+27201</f>
        <v>495087</v>
      </c>
      <c r="X20" s="36">
        <f>461194+29216</f>
        <v>490410</v>
      </c>
      <c r="Y20" s="14">
        <f>437573+35946</f>
        <v>473519</v>
      </c>
      <c r="Z20" s="14">
        <v>414048</v>
      </c>
      <c r="AA20" s="80">
        <v>577789</v>
      </c>
      <c r="AB20" s="1">
        <v>766152</v>
      </c>
      <c r="AC20" s="1">
        <v>459429</v>
      </c>
      <c r="AD20" s="14"/>
      <c r="AE20" s="156">
        <v>809010.21</v>
      </c>
      <c r="AF20" s="92">
        <v>34046.46</v>
      </c>
      <c r="AG20" s="3">
        <f>SUM(AE20:AF20)</f>
        <v>843056.6699999999</v>
      </c>
      <c r="AI20" s="3">
        <v>879521.53</v>
      </c>
      <c r="AJ20" s="3">
        <v>27284.61</v>
      </c>
      <c r="AK20" s="3">
        <f>SUM(AI20:AJ20)</f>
        <v>906806.14</v>
      </c>
      <c r="AM20" s="3">
        <v>801805.77</v>
      </c>
      <c r="AN20" s="3">
        <v>17120.05</v>
      </c>
      <c r="AO20" s="3">
        <f>SUM(AM20:AN20)</f>
        <v>818925.8200000001</v>
      </c>
      <c r="AQ20" s="3">
        <v>700651.8</v>
      </c>
      <c r="AR20" s="3">
        <v>3188.7</v>
      </c>
      <c r="AS20" s="3">
        <f>SUM(AQ20:AR20)</f>
        <v>703840.5</v>
      </c>
      <c r="AU20" s="3">
        <v>611049.28</v>
      </c>
      <c r="AV20" s="3">
        <v>0</v>
      </c>
      <c r="AW20" s="3">
        <f>SUM(AU20:AV20)</f>
        <v>611049.28</v>
      </c>
      <c r="AY20" s="3">
        <v>1348259.4200000002</v>
      </c>
      <c r="AZ20" s="3">
        <v>25923.38</v>
      </c>
      <c r="BA20" s="3">
        <f>SUM(AY20:AZ20)</f>
        <v>1374182.8</v>
      </c>
      <c r="BC20" s="3">
        <v>678504.1</v>
      </c>
      <c r="BD20" s="3">
        <v>0</v>
      </c>
      <c r="BE20" s="3">
        <f>SUM(BC20:BD20)</f>
        <v>678504.1</v>
      </c>
    </row>
    <row r="21" spans="1:57" ht="12.75">
      <c r="A21" s="1" t="s">
        <v>14</v>
      </c>
      <c r="B21" s="1">
        <v>561420</v>
      </c>
      <c r="C21" s="1">
        <v>626796</v>
      </c>
      <c r="D21" s="1">
        <v>1025170</v>
      </c>
      <c r="E21" s="1">
        <v>1197212</v>
      </c>
      <c r="F21" s="1">
        <v>2020858</v>
      </c>
      <c r="G21" s="1">
        <v>1476145.49</v>
      </c>
      <c r="H21" s="1">
        <v>1945562.8</v>
      </c>
      <c r="I21" s="1">
        <v>1440264.87</v>
      </c>
      <c r="J21" s="1">
        <v>492293.99000000005</v>
      </c>
      <c r="K21" s="1">
        <v>581158.42</v>
      </c>
      <c r="L21" s="244">
        <f>(K21-J21)*100/J21</f>
        <v>18.051089756346606</v>
      </c>
      <c r="M21" s="244">
        <f>(K21-AC21)*100/AC21</f>
        <v>-65.43978111088249</v>
      </c>
      <c r="N21" s="14">
        <v>269864</v>
      </c>
      <c r="O21" s="14">
        <v>353184</v>
      </c>
      <c r="P21" s="14">
        <v>459569</v>
      </c>
      <c r="Q21" s="27">
        <v>541517</v>
      </c>
      <c r="R21" s="27">
        <v>558770</v>
      </c>
      <c r="S21" s="27">
        <v>677026</v>
      </c>
      <c r="T21" s="27">
        <v>703354</v>
      </c>
      <c r="U21" s="27">
        <v>531559</v>
      </c>
      <c r="V21" s="27">
        <f>545626+834</f>
        <v>546460</v>
      </c>
      <c r="W21" s="27">
        <f>488256+7452</f>
        <v>495708</v>
      </c>
      <c r="X21" s="36">
        <f>515153+8091</f>
        <v>523244</v>
      </c>
      <c r="Y21" s="14">
        <f>603132+1840</f>
        <v>604972</v>
      </c>
      <c r="Z21" s="14">
        <v>698150</v>
      </c>
      <c r="AA21" s="80">
        <v>739608</v>
      </c>
      <c r="AB21" s="1">
        <v>865474</v>
      </c>
      <c r="AC21" s="1">
        <v>1681582</v>
      </c>
      <c r="AD21" s="14"/>
      <c r="AE21" s="156">
        <v>1169810.79</v>
      </c>
      <c r="AF21" s="92">
        <v>27401.5</v>
      </c>
      <c r="AG21" s="3">
        <f>SUM(AE21:AF21)</f>
        <v>1197212.29</v>
      </c>
      <c r="AI21" s="3">
        <v>2008214.23</v>
      </c>
      <c r="AJ21" s="3">
        <v>12643.71</v>
      </c>
      <c r="AK21" s="3">
        <f>SUM(AI21:AJ21)</f>
        <v>2020857.94</v>
      </c>
      <c r="AM21" s="3">
        <v>1474612.71</v>
      </c>
      <c r="AN21" s="3">
        <v>1532.78</v>
      </c>
      <c r="AO21" s="3">
        <f>SUM(AM21:AN21)</f>
        <v>1476145.49</v>
      </c>
      <c r="AQ21" s="3">
        <v>1943454.62</v>
      </c>
      <c r="AR21" s="3">
        <v>2108.18</v>
      </c>
      <c r="AS21" s="3">
        <f>SUM(AQ21:AR21)</f>
        <v>1945562.8</v>
      </c>
      <c r="AU21" s="3">
        <v>1439493.25</v>
      </c>
      <c r="AV21" s="3">
        <v>771.62</v>
      </c>
      <c r="AW21" s="3">
        <f>SUM(AU21:AV21)</f>
        <v>1440264.87</v>
      </c>
      <c r="AY21" s="3">
        <v>476210.28</v>
      </c>
      <c r="AZ21" s="3">
        <v>16083.71</v>
      </c>
      <c r="BA21" s="3">
        <f>SUM(AY21:AZ21)</f>
        <v>492293.99000000005</v>
      </c>
      <c r="BC21" s="3">
        <v>540408.2000000001</v>
      </c>
      <c r="BD21" s="3">
        <v>40750.22</v>
      </c>
      <c r="BE21" s="3">
        <f>SUM(BC21:BD21)</f>
        <v>581158.42</v>
      </c>
    </row>
    <row r="22" spans="1:57" ht="12.75">
      <c r="A22" s="1" t="s">
        <v>15</v>
      </c>
      <c r="B22" s="1">
        <v>84029</v>
      </c>
      <c r="C22" s="313">
        <v>0</v>
      </c>
      <c r="D22" s="1">
        <v>111998</v>
      </c>
      <c r="E22" s="1">
        <v>422665</v>
      </c>
      <c r="F22" s="1">
        <v>323324</v>
      </c>
      <c r="G22" s="1">
        <v>448123.6</v>
      </c>
      <c r="H22" s="1">
        <v>453760.74</v>
      </c>
      <c r="I22" s="1">
        <v>375944.6</v>
      </c>
      <c r="J22" s="1">
        <v>443783.15</v>
      </c>
      <c r="K22" s="1">
        <v>302202.9</v>
      </c>
      <c r="L22" s="244">
        <f>(K22-J22)*100/J22</f>
        <v>-31.903025159923263</v>
      </c>
      <c r="M22" s="244">
        <f>(K22-AC22)*100/AC22</f>
        <v>116.16493326275734</v>
      </c>
      <c r="N22" s="14">
        <v>32279</v>
      </c>
      <c r="O22" s="14">
        <v>48824</v>
      </c>
      <c r="P22" s="14">
        <v>46292</v>
      </c>
      <c r="Q22" s="27">
        <v>57848</v>
      </c>
      <c r="R22" s="27">
        <v>50693</v>
      </c>
      <c r="S22" s="27">
        <v>53137</v>
      </c>
      <c r="T22" s="27">
        <v>55907</v>
      </c>
      <c r="U22" s="27">
        <v>79573</v>
      </c>
      <c r="V22" s="27">
        <f>101982+979</f>
        <v>102961</v>
      </c>
      <c r="W22" s="27">
        <f>159167+597</f>
        <v>159764</v>
      </c>
      <c r="X22" s="36">
        <f>189727+5949</f>
        <v>195676</v>
      </c>
      <c r="Y22" s="14">
        <f>142076+215</f>
        <v>142291</v>
      </c>
      <c r="Z22" s="14">
        <v>164467</v>
      </c>
      <c r="AA22" s="80">
        <v>71120</v>
      </c>
      <c r="AB22" s="1">
        <v>50105</v>
      </c>
      <c r="AC22" s="1">
        <v>139802</v>
      </c>
      <c r="AD22" s="14"/>
      <c r="AE22" s="159">
        <v>422665.16</v>
      </c>
      <c r="AF22" s="92">
        <v>0</v>
      </c>
      <c r="AG22" s="3">
        <f>SUM(AE22:AF22)</f>
        <v>422665.16</v>
      </c>
      <c r="AI22" s="3">
        <v>323324</v>
      </c>
      <c r="AJ22" s="3">
        <v>0</v>
      </c>
      <c r="AK22" s="3">
        <f>SUM(AI22:AJ22)</f>
        <v>323324</v>
      </c>
      <c r="AM22" s="3">
        <v>448123.6</v>
      </c>
      <c r="AN22" s="3">
        <v>0</v>
      </c>
      <c r="AO22" s="3">
        <f>SUM(AM22:AN22)</f>
        <v>448123.6</v>
      </c>
      <c r="AQ22" s="3">
        <v>453760.74</v>
      </c>
      <c r="AR22" s="3">
        <v>0</v>
      </c>
      <c r="AS22" s="3">
        <f>SUM(AQ22:AR22)</f>
        <v>453760.74</v>
      </c>
      <c r="AU22" s="3">
        <v>375944.6</v>
      </c>
      <c r="AV22" s="3">
        <v>0</v>
      </c>
      <c r="AW22" s="3">
        <f>SUM(AU22:AV22)</f>
        <v>375944.6</v>
      </c>
      <c r="AY22" s="3">
        <v>443783.15</v>
      </c>
      <c r="AZ22" s="3">
        <v>0</v>
      </c>
      <c r="BA22" s="3">
        <f>SUM(AY22:AZ22)</f>
        <v>443783.15</v>
      </c>
      <c r="BC22" s="3">
        <v>302202.9</v>
      </c>
      <c r="BD22" s="3">
        <v>0</v>
      </c>
      <c r="BE22" s="3">
        <f>SUM(BC22:BD22)</f>
        <v>302202.9</v>
      </c>
    </row>
    <row r="23" spans="12:32" ht="12.75">
      <c r="L23" s="244"/>
      <c r="M23" s="244"/>
      <c r="N23" s="14"/>
      <c r="P23" s="14"/>
      <c r="Q23" s="27"/>
      <c r="R23" s="27"/>
      <c r="S23" s="27"/>
      <c r="T23" s="27"/>
      <c r="U23" s="27"/>
      <c r="V23" s="27"/>
      <c r="W23" s="27"/>
      <c r="X23" s="36"/>
      <c r="Y23" s="14"/>
      <c r="Z23" s="14"/>
      <c r="AA23" s="80">
        <v>0</v>
      </c>
      <c r="AB23" s="1"/>
      <c r="AC23" s="1"/>
      <c r="AD23" s="14"/>
      <c r="AE23" s="92"/>
      <c r="AF23" s="92"/>
    </row>
    <row r="24" spans="1:57" ht="12.75">
      <c r="A24" s="1" t="s">
        <v>16</v>
      </c>
      <c r="B24" s="1">
        <v>1389324</v>
      </c>
      <c r="C24" s="1">
        <v>1904373</v>
      </c>
      <c r="D24" s="1">
        <v>2145139</v>
      </c>
      <c r="E24" s="1">
        <v>3967096</v>
      </c>
      <c r="F24" s="1">
        <v>2607922</v>
      </c>
      <c r="G24" s="1">
        <v>2979096.81</v>
      </c>
      <c r="H24" s="1">
        <v>2572696.99</v>
      </c>
      <c r="I24" s="1">
        <v>3582327.06</v>
      </c>
      <c r="J24" s="1">
        <v>3935515.0099999993</v>
      </c>
      <c r="K24" s="1">
        <v>4139362.3600000003</v>
      </c>
      <c r="L24" s="244">
        <f>(K24-J24)*100/J24</f>
        <v>5.179686762267007</v>
      </c>
      <c r="M24" s="244">
        <f>(K24-AC24)*100/AC24</f>
        <v>509.3041175578745</v>
      </c>
      <c r="N24" s="14">
        <v>483116</v>
      </c>
      <c r="O24" s="14">
        <v>457600</v>
      </c>
      <c r="P24" s="14">
        <v>582306</v>
      </c>
      <c r="Q24" s="27">
        <v>638836</v>
      </c>
      <c r="R24" s="27">
        <v>760284</v>
      </c>
      <c r="S24" s="27">
        <v>769689</v>
      </c>
      <c r="T24" s="27">
        <v>908445</v>
      </c>
      <c r="U24" s="27">
        <v>851988</v>
      </c>
      <c r="V24" s="27">
        <f>669856+20447</f>
        <v>690303</v>
      </c>
      <c r="W24" s="27">
        <f>446399+9786</f>
        <v>456185</v>
      </c>
      <c r="X24" s="36">
        <f>677994+13767</f>
        <v>691761</v>
      </c>
      <c r="Y24" s="14">
        <f>748084+27885</f>
        <v>775969</v>
      </c>
      <c r="Z24" s="14">
        <v>690735</v>
      </c>
      <c r="AA24" s="80">
        <v>937324</v>
      </c>
      <c r="AB24" s="1">
        <v>1170212</v>
      </c>
      <c r="AC24" s="1">
        <v>679359</v>
      </c>
      <c r="AD24" s="14"/>
      <c r="AE24" s="156">
        <v>3893643.2</v>
      </c>
      <c r="AF24" s="92">
        <v>73452.32</v>
      </c>
      <c r="AG24" s="3">
        <f>SUM(AE24:AF24)</f>
        <v>3967095.52</v>
      </c>
      <c r="AI24" s="3">
        <v>2532854.5</v>
      </c>
      <c r="AJ24" s="3">
        <v>75067.15</v>
      </c>
      <c r="AK24" s="3">
        <f>SUM(AI24:AJ24)</f>
        <v>2607921.65</v>
      </c>
      <c r="AM24" s="3">
        <v>2912771.71</v>
      </c>
      <c r="AN24" s="3">
        <v>66325.1</v>
      </c>
      <c r="AO24" s="3">
        <f>SUM(AM24:AN24)</f>
        <v>2979096.81</v>
      </c>
      <c r="AQ24" s="3">
        <v>2510852.4</v>
      </c>
      <c r="AR24" s="3">
        <v>61844.59</v>
      </c>
      <c r="AS24" s="3">
        <f>SUM(AQ24:AR24)</f>
        <v>2572696.9899999998</v>
      </c>
      <c r="AU24" s="3">
        <v>3474092.84</v>
      </c>
      <c r="AV24" s="3">
        <v>108234.22</v>
      </c>
      <c r="AW24" s="3">
        <f>SUM(AU24:AV24)</f>
        <v>3582327.06</v>
      </c>
      <c r="AY24" s="3">
        <v>3834794.4199999995</v>
      </c>
      <c r="AZ24" s="3">
        <v>100720.59</v>
      </c>
      <c r="BA24" s="3">
        <f>SUM(AY24:AZ24)</f>
        <v>3935515.0099999993</v>
      </c>
      <c r="BC24" s="3">
        <v>3844306.7600000002</v>
      </c>
      <c r="BD24" s="3">
        <v>295055.6</v>
      </c>
      <c r="BE24" s="3">
        <f>SUM(BC24:BD24)</f>
        <v>4139362.3600000003</v>
      </c>
    </row>
    <row r="25" spans="1:57" ht="12.75">
      <c r="A25" s="1" t="s">
        <v>17</v>
      </c>
      <c r="B25" s="1">
        <v>374280</v>
      </c>
      <c r="C25" s="1">
        <v>527022</v>
      </c>
      <c r="D25" s="1">
        <v>513426</v>
      </c>
      <c r="E25" s="1">
        <v>468338</v>
      </c>
      <c r="F25" s="1">
        <v>307739</v>
      </c>
      <c r="G25" s="1">
        <v>442594.45</v>
      </c>
      <c r="H25" s="1">
        <v>545678.95</v>
      </c>
      <c r="I25" s="1">
        <v>659173.09</v>
      </c>
      <c r="J25" s="1">
        <v>198679.34</v>
      </c>
      <c r="K25" s="1">
        <v>137018.91</v>
      </c>
      <c r="L25" s="244">
        <f>(K25-J25)*100/J25</f>
        <v>-31.035149402046528</v>
      </c>
      <c r="M25" s="244">
        <f>(K25-AC25)*100/AC25</f>
        <v>-49.20861258562913</v>
      </c>
      <c r="N25" s="14">
        <v>117492</v>
      </c>
      <c r="O25" s="14">
        <v>143450</v>
      </c>
      <c r="P25" s="14">
        <v>181865</v>
      </c>
      <c r="Q25" s="27">
        <v>188967</v>
      </c>
      <c r="R25" s="27">
        <v>84860</v>
      </c>
      <c r="S25" s="27">
        <v>164081</v>
      </c>
      <c r="T25" s="27">
        <v>100890</v>
      </c>
      <c r="U25" s="27">
        <v>241388</v>
      </c>
      <c r="V25" s="27">
        <f>229511+3611</f>
        <v>233122</v>
      </c>
      <c r="W25" s="27">
        <f>223361+1125</f>
        <v>224486</v>
      </c>
      <c r="X25" s="36">
        <f>176481+3700</f>
        <v>180181</v>
      </c>
      <c r="Y25" s="14">
        <f>120811+5028</f>
        <v>125839</v>
      </c>
      <c r="Z25" s="14">
        <v>165007</v>
      </c>
      <c r="AA25" s="80">
        <v>157773</v>
      </c>
      <c r="AB25" s="1">
        <v>157649</v>
      </c>
      <c r="AC25" s="1">
        <v>269768</v>
      </c>
      <c r="AD25" s="14"/>
      <c r="AE25" s="156">
        <v>466925.46</v>
      </c>
      <c r="AF25" s="158">
        <v>1412.52</v>
      </c>
      <c r="AG25" s="3">
        <f>SUM(AE25:AF25)</f>
        <v>468337.98000000004</v>
      </c>
      <c r="AI25" s="3">
        <v>302016.08</v>
      </c>
      <c r="AJ25" s="3">
        <v>5723.15</v>
      </c>
      <c r="AK25" s="3">
        <f>SUM(AI25:AJ25)</f>
        <v>307739.23000000004</v>
      </c>
      <c r="AM25" s="3">
        <v>437178.81</v>
      </c>
      <c r="AN25" s="3">
        <v>5415.64</v>
      </c>
      <c r="AO25" s="3">
        <f>SUM(AM25:AN25)</f>
        <v>442594.45</v>
      </c>
      <c r="AQ25" s="3">
        <v>539452.76</v>
      </c>
      <c r="AR25" s="3">
        <v>6226.19</v>
      </c>
      <c r="AS25" s="3">
        <f>SUM(AQ25:AR25)</f>
        <v>545678.95</v>
      </c>
      <c r="AU25" s="3">
        <v>646970.91</v>
      </c>
      <c r="AV25" s="3">
        <v>12202.18</v>
      </c>
      <c r="AW25" s="3">
        <f>SUM(AU25:AV25)</f>
        <v>659173.0900000001</v>
      </c>
      <c r="AY25" s="3">
        <v>176903.19</v>
      </c>
      <c r="AZ25" s="3">
        <v>21776.149999999998</v>
      </c>
      <c r="BA25" s="3">
        <f>SUM(AY25:AZ25)</f>
        <v>198679.34</v>
      </c>
      <c r="BC25" s="3">
        <v>125016.01</v>
      </c>
      <c r="BD25" s="3">
        <v>12002.900000000001</v>
      </c>
      <c r="BE25" s="3">
        <f>SUM(BC25:BD25)</f>
        <v>137018.91</v>
      </c>
    </row>
    <row r="26" spans="1:57" ht="12.75">
      <c r="A26" s="1" t="s">
        <v>18</v>
      </c>
      <c r="B26" s="1">
        <v>2265427</v>
      </c>
      <c r="C26" s="1">
        <v>2579907</v>
      </c>
      <c r="D26" s="1">
        <v>1332311</v>
      </c>
      <c r="E26" s="1">
        <v>2597585</v>
      </c>
      <c r="F26" s="1">
        <v>2369983</v>
      </c>
      <c r="G26" s="1">
        <v>2953468.88</v>
      </c>
      <c r="H26" s="1">
        <v>2933750.44</v>
      </c>
      <c r="I26" s="1">
        <v>2498435.96</v>
      </c>
      <c r="J26" s="1">
        <v>2509676.5299999993</v>
      </c>
      <c r="K26" s="1">
        <v>1656671.57</v>
      </c>
      <c r="L26" s="244">
        <f>(K26-J26)*100/J26</f>
        <v>-33.988641556129124</v>
      </c>
      <c r="M26" s="244">
        <f>(K26-AC26)*100/AC26</f>
        <v>-1.8965742266679815</v>
      </c>
      <c r="N26" s="14">
        <v>906186</v>
      </c>
      <c r="O26" s="14">
        <v>871164</v>
      </c>
      <c r="P26" s="14">
        <v>1055055</v>
      </c>
      <c r="Q26" s="27">
        <v>1080419</v>
      </c>
      <c r="R26" s="27">
        <v>1244340</v>
      </c>
      <c r="S26" s="27">
        <v>1349267</v>
      </c>
      <c r="T26" s="27">
        <v>1398153</v>
      </c>
      <c r="U26" s="27">
        <v>1524620</v>
      </c>
      <c r="V26" s="27">
        <f>1751600+37515</f>
        <v>1789115</v>
      </c>
      <c r="W26" s="27">
        <f>1934472+58482</f>
        <v>1992954</v>
      </c>
      <c r="X26" s="36">
        <f>2104608+38635</f>
        <v>2143243</v>
      </c>
      <c r="Y26" s="14">
        <f>2136146+38014</f>
        <v>2174160</v>
      </c>
      <c r="Z26" s="14">
        <v>1958716</v>
      </c>
      <c r="AA26" s="80">
        <v>1744082</v>
      </c>
      <c r="AB26" s="1">
        <v>1725233</v>
      </c>
      <c r="AC26" s="1">
        <v>1688699</v>
      </c>
      <c r="AD26" s="14"/>
      <c r="AE26" s="156">
        <v>2546794.67</v>
      </c>
      <c r="AF26" s="158">
        <v>50790.18</v>
      </c>
      <c r="AG26" s="3">
        <f>SUM(AE26:AF26)</f>
        <v>2597584.85</v>
      </c>
      <c r="AI26" s="3">
        <v>2266952.82</v>
      </c>
      <c r="AJ26" s="3">
        <v>103030.55</v>
      </c>
      <c r="AK26" s="3">
        <f>SUM(AI26:AJ26)</f>
        <v>2369983.3699999996</v>
      </c>
      <c r="AM26" s="3">
        <v>2827431.74</v>
      </c>
      <c r="AN26" s="3">
        <v>126037.14</v>
      </c>
      <c r="AO26" s="3">
        <f>SUM(AM26:AN26)</f>
        <v>2953468.8800000004</v>
      </c>
      <c r="AQ26" s="3">
        <v>2818921.07</v>
      </c>
      <c r="AR26" s="3">
        <v>114829.37</v>
      </c>
      <c r="AS26" s="3">
        <f>SUM(AQ26:AR26)</f>
        <v>2933750.44</v>
      </c>
      <c r="AU26" s="3">
        <v>2449987.15</v>
      </c>
      <c r="AV26" s="3">
        <v>48448.81</v>
      </c>
      <c r="AW26" s="3">
        <f>SUM(AU26:AV26)</f>
        <v>2498435.96</v>
      </c>
      <c r="AY26" s="3">
        <v>2475164.2099999995</v>
      </c>
      <c r="AZ26" s="3">
        <v>34512.32</v>
      </c>
      <c r="BA26" s="3">
        <f>SUM(AY26:AZ26)</f>
        <v>2509676.5299999993</v>
      </c>
      <c r="BC26" s="3">
        <v>1635965</v>
      </c>
      <c r="BD26" s="3">
        <v>20706.57</v>
      </c>
      <c r="BE26" s="3">
        <f>SUM(BC26:BD26)</f>
        <v>1656671.57</v>
      </c>
    </row>
    <row r="27" spans="1:57" ht="12.75">
      <c r="A27" s="1" t="s">
        <v>19</v>
      </c>
      <c r="B27" s="1">
        <v>2384530</v>
      </c>
      <c r="C27" s="1">
        <v>2423021</v>
      </c>
      <c r="D27" s="1">
        <v>2199975</v>
      </c>
      <c r="E27" s="1">
        <v>2689120</v>
      </c>
      <c r="F27" s="1">
        <v>515713</v>
      </c>
      <c r="G27" s="1">
        <v>2862129.98</v>
      </c>
      <c r="H27" s="1">
        <v>3465468.41</v>
      </c>
      <c r="I27" s="1">
        <v>3629827.39</v>
      </c>
      <c r="J27" s="1">
        <v>3025847.71</v>
      </c>
      <c r="K27" s="1">
        <v>3358070</v>
      </c>
      <c r="L27" s="244">
        <f>(K27-J27)*100/J27</f>
        <v>10.9794782104219</v>
      </c>
      <c r="M27" s="244">
        <f>(K27-AC27)*100/AC27</f>
        <v>83.39626639636579</v>
      </c>
      <c r="N27" s="14">
        <v>730863</v>
      </c>
      <c r="O27" s="14">
        <v>734168</v>
      </c>
      <c r="P27" s="14">
        <v>721680</v>
      </c>
      <c r="Q27" s="27">
        <v>767942</v>
      </c>
      <c r="R27" s="27">
        <v>983439</v>
      </c>
      <c r="S27" s="27">
        <v>1329553</v>
      </c>
      <c r="T27" s="27">
        <v>2315667</v>
      </c>
      <c r="U27" s="27">
        <v>1510726</v>
      </c>
      <c r="V27" s="27">
        <f>923347+25329</f>
        <v>948676</v>
      </c>
      <c r="W27" s="27">
        <f>1643191+1011</f>
        <v>1644202</v>
      </c>
      <c r="X27" s="36">
        <f>887594+3445</f>
        <v>891039</v>
      </c>
      <c r="Y27" s="14">
        <f>1481997+5683</f>
        <v>1487680</v>
      </c>
      <c r="Z27" s="14">
        <v>939861</v>
      </c>
      <c r="AA27" s="80">
        <v>1444500</v>
      </c>
      <c r="AB27" s="1">
        <v>1555843</v>
      </c>
      <c r="AC27" s="1">
        <v>1831046</v>
      </c>
      <c r="AD27" s="14"/>
      <c r="AE27" s="156">
        <v>2670941.13</v>
      </c>
      <c r="AF27" s="158">
        <v>18178.76</v>
      </c>
      <c r="AG27" s="3">
        <f>SUM(AE27:AF27)</f>
        <v>2689119.8899999997</v>
      </c>
      <c r="AI27" s="3">
        <v>502498.07</v>
      </c>
      <c r="AJ27" s="3">
        <v>13215</v>
      </c>
      <c r="AK27" s="3">
        <f>SUM(AI27:AJ27)</f>
        <v>515713.07</v>
      </c>
      <c r="AM27" s="3">
        <v>2623475.82</v>
      </c>
      <c r="AN27" s="3">
        <v>238654.16</v>
      </c>
      <c r="AO27" s="3">
        <f>SUM(AM27:AN27)</f>
        <v>2862129.98</v>
      </c>
      <c r="AQ27" s="3">
        <v>2986968.07</v>
      </c>
      <c r="AR27" s="3">
        <v>478500.34</v>
      </c>
      <c r="AS27" s="3">
        <f>SUM(AQ27:AR27)</f>
        <v>3465468.4099999997</v>
      </c>
      <c r="AU27" s="3">
        <v>3491480.79</v>
      </c>
      <c r="AV27" s="3">
        <v>138346.6</v>
      </c>
      <c r="AW27" s="3">
        <f>SUM(AU27:AV27)</f>
        <v>3629827.39</v>
      </c>
      <c r="AY27" s="3">
        <v>2962079.92</v>
      </c>
      <c r="AZ27" s="3">
        <v>63767.79</v>
      </c>
      <c r="BA27" s="3">
        <f>SUM(AY27:AZ27)</f>
        <v>3025847.71</v>
      </c>
      <c r="BC27" s="3">
        <v>3214828</v>
      </c>
      <c r="BD27" s="3">
        <v>143242</v>
      </c>
      <c r="BE27" s="3">
        <f>SUM(BC27:BD27)</f>
        <v>3358070</v>
      </c>
    </row>
    <row r="28" spans="1:57" ht="12.75">
      <c r="A28" s="1" t="s">
        <v>20</v>
      </c>
      <c r="B28" s="1">
        <v>170097</v>
      </c>
      <c r="C28" s="1">
        <v>145732</v>
      </c>
      <c r="D28" s="1">
        <v>165957</v>
      </c>
      <c r="E28" s="1">
        <v>88312</v>
      </c>
      <c r="F28" s="1">
        <v>114943</v>
      </c>
      <c r="G28" s="1">
        <v>121176</v>
      </c>
      <c r="H28" s="1">
        <v>223652.58</v>
      </c>
      <c r="I28" s="1">
        <v>329666</v>
      </c>
      <c r="J28" s="1">
        <v>479443.25</v>
      </c>
      <c r="K28" s="1">
        <v>120570.64</v>
      </c>
      <c r="L28" s="244">
        <f>(K28-J28)*100/J28</f>
        <v>-74.85194754540814</v>
      </c>
      <c r="M28" s="244">
        <f>(K28-AC28)*100/AC28</f>
        <v>-2.8149891587338693</v>
      </c>
      <c r="N28" s="14">
        <v>70027</v>
      </c>
      <c r="O28" s="14">
        <v>67229</v>
      </c>
      <c r="P28" s="27">
        <v>67061</v>
      </c>
      <c r="Q28" s="27">
        <v>78565</v>
      </c>
      <c r="R28" s="27">
        <v>80239</v>
      </c>
      <c r="S28" s="27">
        <v>78324</v>
      </c>
      <c r="T28" s="27">
        <v>79877</v>
      </c>
      <c r="U28" s="27">
        <v>92304</v>
      </c>
      <c r="V28" s="27">
        <f>92298+763</f>
        <v>93061</v>
      </c>
      <c r="W28" s="27">
        <f>183858+809</f>
        <v>184667</v>
      </c>
      <c r="X28" s="36">
        <f>176141+6339</f>
        <v>182480</v>
      </c>
      <c r="Y28" s="14">
        <f>126916+538</f>
        <v>127454</v>
      </c>
      <c r="Z28" s="14">
        <v>203940</v>
      </c>
      <c r="AA28" s="80">
        <v>122815</v>
      </c>
      <c r="AB28" s="1">
        <v>156085</v>
      </c>
      <c r="AC28" s="1">
        <v>124063</v>
      </c>
      <c r="AD28" s="14"/>
      <c r="AE28" s="156">
        <v>86669</v>
      </c>
      <c r="AF28" s="158">
        <v>1642.64</v>
      </c>
      <c r="AG28" s="3">
        <f>SUM(AE28:AF28)</f>
        <v>88311.64</v>
      </c>
      <c r="AI28" s="3">
        <v>114943.19</v>
      </c>
      <c r="AJ28" s="3">
        <v>0</v>
      </c>
      <c r="AK28" s="3">
        <f>SUM(AI28:AJ28)</f>
        <v>114943.19</v>
      </c>
      <c r="AM28" s="3">
        <v>121176</v>
      </c>
      <c r="AN28" s="3">
        <v>0</v>
      </c>
      <c r="AO28" s="3">
        <f>SUM(AM28:AN28)</f>
        <v>121176</v>
      </c>
      <c r="AQ28" s="3">
        <v>223652.58</v>
      </c>
      <c r="AR28" s="3">
        <v>0</v>
      </c>
      <c r="AS28" s="3">
        <f>SUM(AQ28:AR28)</f>
        <v>223652.58</v>
      </c>
      <c r="AU28" s="3">
        <v>329666</v>
      </c>
      <c r="AV28" s="3">
        <v>0</v>
      </c>
      <c r="AW28" s="3">
        <f>SUM(AU28:AV28)</f>
        <v>329666</v>
      </c>
      <c r="AY28" s="3">
        <v>479443.25</v>
      </c>
      <c r="AZ28" s="3">
        <v>0</v>
      </c>
      <c r="BA28" s="3">
        <f>SUM(AY28:AZ28)</f>
        <v>479443.25</v>
      </c>
      <c r="BC28" s="3">
        <v>120570.64</v>
      </c>
      <c r="BD28" s="3">
        <v>0</v>
      </c>
      <c r="BE28" s="3">
        <f>SUM(BC28:BD28)</f>
        <v>120570.64</v>
      </c>
    </row>
    <row r="29" spans="12:32" ht="12.75">
      <c r="L29" s="244"/>
      <c r="M29" s="244"/>
      <c r="N29" s="14"/>
      <c r="O29" s="14"/>
      <c r="Q29" s="27"/>
      <c r="R29" s="27"/>
      <c r="S29" s="27"/>
      <c r="T29" s="27"/>
      <c r="U29" s="27"/>
      <c r="V29" s="27"/>
      <c r="W29" s="27"/>
      <c r="X29" s="36"/>
      <c r="Y29" s="14"/>
      <c r="Z29" s="14"/>
      <c r="AA29" s="80"/>
      <c r="AB29" s="1"/>
      <c r="AC29" s="1"/>
      <c r="AD29" s="14"/>
      <c r="AE29" s="92"/>
      <c r="AF29" s="158"/>
    </row>
    <row r="30" spans="1:57" ht="12.75">
      <c r="A30" s="1" t="s">
        <v>21</v>
      </c>
      <c r="B30" s="1">
        <v>5410880</v>
      </c>
      <c r="C30" s="1">
        <v>5636743</v>
      </c>
      <c r="D30" s="1">
        <v>7395802</v>
      </c>
      <c r="E30" s="1">
        <v>7880625</v>
      </c>
      <c r="F30" s="1">
        <v>8439856</v>
      </c>
      <c r="G30" s="1">
        <v>10138418.510000002</v>
      </c>
      <c r="H30" s="1">
        <v>9313324.55</v>
      </c>
      <c r="I30" s="1">
        <v>5802157.75</v>
      </c>
      <c r="J30" s="1">
        <v>7414057.7299999995</v>
      </c>
      <c r="K30" s="1">
        <v>5532430.1899999995</v>
      </c>
      <c r="L30" s="244">
        <f>(K30-J30)*100/J30</f>
        <v>-25.379186520038065</v>
      </c>
      <c r="M30" s="244">
        <f>(K30-AC30)*100/AC30</f>
        <v>-0.8834306357102654</v>
      </c>
      <c r="N30" s="14">
        <v>1882887</v>
      </c>
      <c r="O30" s="14">
        <v>2149367</v>
      </c>
      <c r="P30" s="27">
        <v>2343447</v>
      </c>
      <c r="Q30" s="27">
        <v>2432657</v>
      </c>
      <c r="R30" s="27">
        <v>2769817</v>
      </c>
      <c r="S30" s="27">
        <v>2849850</v>
      </c>
      <c r="T30" s="27">
        <v>3107873</v>
      </c>
      <c r="U30" s="27">
        <v>2591508</v>
      </c>
      <c r="V30" s="27">
        <f>3115533+92320</f>
        <v>3207853</v>
      </c>
      <c r="W30" s="27">
        <f>3229337+109140</f>
        <v>3338477</v>
      </c>
      <c r="X30" s="36">
        <f>3019090+112164</f>
        <v>3131254</v>
      </c>
      <c r="Y30" s="14">
        <f>2791494+143846</f>
        <v>2935340</v>
      </c>
      <c r="Z30" s="14">
        <v>3107903</v>
      </c>
      <c r="AA30" s="80">
        <v>3612660</v>
      </c>
      <c r="AB30" s="1">
        <v>5184430</v>
      </c>
      <c r="AC30" s="1">
        <v>5581741</v>
      </c>
      <c r="AD30" s="14"/>
      <c r="AE30" s="156">
        <v>7356543</v>
      </c>
      <c r="AF30" s="158">
        <v>524082.48</v>
      </c>
      <c r="AG30" s="3">
        <f>SUM(AE30:AF30)</f>
        <v>7880625.48</v>
      </c>
      <c r="AI30" s="3">
        <v>8340171</v>
      </c>
      <c r="AJ30" s="3">
        <v>99684.96</v>
      </c>
      <c r="AK30" s="3">
        <f>SUM(AI30:AJ30)</f>
        <v>8439855.96</v>
      </c>
      <c r="AM30" s="3">
        <v>9299026.920000002</v>
      </c>
      <c r="AN30" s="3">
        <v>839391.59</v>
      </c>
      <c r="AO30" s="3">
        <f>SUM(AM30:AN30)</f>
        <v>10138418.510000002</v>
      </c>
      <c r="AQ30" s="3">
        <v>9230569.65</v>
      </c>
      <c r="AR30" s="3">
        <v>82754.9</v>
      </c>
      <c r="AS30" s="3">
        <f>SUM(AQ30:AR30)</f>
        <v>9313324.55</v>
      </c>
      <c r="AU30" s="3">
        <v>5717070.89</v>
      </c>
      <c r="AV30" s="3">
        <v>85086.86</v>
      </c>
      <c r="AW30" s="3">
        <f>SUM(AU30:AV30)</f>
        <v>5802157.75</v>
      </c>
      <c r="AY30" s="3">
        <v>7332439.39</v>
      </c>
      <c r="AZ30" s="3">
        <v>81618.34</v>
      </c>
      <c r="BA30" s="3">
        <f>SUM(AY30:AZ30)</f>
        <v>7414057.7299999995</v>
      </c>
      <c r="BC30" s="3">
        <v>5434876.38</v>
      </c>
      <c r="BD30" s="3">
        <v>97553.81</v>
      </c>
      <c r="BE30" s="3">
        <f>SUM(BC30:BD30)</f>
        <v>5532430.1899999995</v>
      </c>
    </row>
    <row r="31" spans="1:57" ht="12.75">
      <c r="A31" s="1" t="s">
        <v>22</v>
      </c>
      <c r="B31" s="1">
        <v>11279008</v>
      </c>
      <c r="C31" s="1">
        <v>10845388</v>
      </c>
      <c r="D31" s="1">
        <v>13689387</v>
      </c>
      <c r="E31" s="1">
        <v>11763887</v>
      </c>
      <c r="F31" s="1">
        <v>5190650</v>
      </c>
      <c r="G31" s="1">
        <v>12702010.17</v>
      </c>
      <c r="H31" s="1">
        <v>1458614.84</v>
      </c>
      <c r="I31" s="1">
        <v>3691642.42</v>
      </c>
      <c r="J31" s="1">
        <v>1506657.66</v>
      </c>
      <c r="K31" s="1">
        <v>3347740.26</v>
      </c>
      <c r="L31" s="244">
        <f>(K31-J31)*100/J31</f>
        <v>122.19647826301829</v>
      </c>
      <c r="M31" s="244">
        <f>(K31-AC31)*100/AC31</f>
        <v>-66.2895197686323</v>
      </c>
      <c r="N31" s="14">
        <v>2111128</v>
      </c>
      <c r="O31" s="14">
        <v>2607329</v>
      </c>
      <c r="P31" s="27">
        <v>2617989</v>
      </c>
      <c r="Q31" s="27">
        <v>3229397</v>
      </c>
      <c r="R31" s="27">
        <v>2855706</v>
      </c>
      <c r="S31" s="27">
        <v>3723673</v>
      </c>
      <c r="T31" s="27">
        <v>3193729</v>
      </c>
      <c r="U31" s="27">
        <v>3737190</v>
      </c>
      <c r="V31" s="27">
        <f>3662515+37779</f>
        <v>3700294</v>
      </c>
      <c r="W31" s="27">
        <f>3223358+43152</f>
        <v>3266510</v>
      </c>
      <c r="X31" s="36">
        <f>3788312+51961</f>
        <v>3840273</v>
      </c>
      <c r="Y31" s="14">
        <f>4520624+47642</f>
        <v>4568266</v>
      </c>
      <c r="Z31" s="14">
        <v>4414646</v>
      </c>
      <c r="AA31" s="80">
        <v>4213500</v>
      </c>
      <c r="AB31" s="1">
        <v>7683866</v>
      </c>
      <c r="AC31" s="1">
        <v>9930859</v>
      </c>
      <c r="AD31" s="14"/>
      <c r="AE31" s="156">
        <v>11763887</v>
      </c>
      <c r="AF31" s="158">
        <v>0</v>
      </c>
      <c r="AG31" s="3">
        <f>SUM(AE31:AF31)</f>
        <v>11763887</v>
      </c>
      <c r="AI31" s="3">
        <v>5190650.39</v>
      </c>
      <c r="AJ31" s="3">
        <v>0</v>
      </c>
      <c r="AK31" s="3">
        <f>SUM(AI31:AJ31)</f>
        <v>5190650.39</v>
      </c>
      <c r="AM31" s="3">
        <v>12702010.17</v>
      </c>
      <c r="AN31" s="3">
        <v>0</v>
      </c>
      <c r="AO31" s="3">
        <f>SUM(AM31:AN31)</f>
        <v>12702010.17</v>
      </c>
      <c r="AQ31" s="3">
        <v>1458614.84</v>
      </c>
      <c r="AR31" s="3">
        <v>0</v>
      </c>
      <c r="AS31" s="3">
        <f>SUM(AQ31:AR31)</f>
        <v>1458614.84</v>
      </c>
      <c r="AU31" s="3">
        <v>3691642.42</v>
      </c>
      <c r="AV31" s="3">
        <v>0</v>
      </c>
      <c r="AW31" s="3">
        <f>SUM(AU31:AV31)</f>
        <v>3691642.42</v>
      </c>
      <c r="AY31" s="3">
        <v>1506657.66</v>
      </c>
      <c r="AZ31" s="3">
        <v>0</v>
      </c>
      <c r="BA31" s="3">
        <f>SUM(AY31:AZ31)</f>
        <v>1506657.66</v>
      </c>
      <c r="BC31" s="3">
        <v>3347740.26</v>
      </c>
      <c r="BD31" s="3">
        <v>0</v>
      </c>
      <c r="BE31" s="3">
        <f>SUM(BC31:BD31)</f>
        <v>3347740.26</v>
      </c>
    </row>
    <row r="32" spans="1:57" ht="12.75">
      <c r="A32" s="1" t="s">
        <v>23</v>
      </c>
      <c r="B32" s="1">
        <v>291527</v>
      </c>
      <c r="C32" s="1">
        <v>553069</v>
      </c>
      <c r="D32" s="1">
        <v>823185</v>
      </c>
      <c r="E32" s="1">
        <v>618835</v>
      </c>
      <c r="F32" s="1">
        <v>373146</v>
      </c>
      <c r="G32" s="1">
        <v>230165.59</v>
      </c>
      <c r="H32" s="1">
        <v>435221.88</v>
      </c>
      <c r="I32" s="1">
        <v>580856.3</v>
      </c>
      <c r="J32" s="1">
        <v>443634.16</v>
      </c>
      <c r="K32" s="1">
        <v>218997.76</v>
      </c>
      <c r="L32" s="244">
        <f>(K32-J32)*100/J32</f>
        <v>-50.63550561570822</v>
      </c>
      <c r="M32" s="244">
        <f>(K32-AC32)*100/AC32</f>
        <v>-39.18722196613332</v>
      </c>
      <c r="N32" s="14">
        <v>109656</v>
      </c>
      <c r="O32" s="14">
        <v>374980</v>
      </c>
      <c r="P32" s="27">
        <v>383380</v>
      </c>
      <c r="Q32" s="27">
        <v>188152</v>
      </c>
      <c r="R32" s="27">
        <v>237176</v>
      </c>
      <c r="S32" s="27">
        <v>155023</v>
      </c>
      <c r="T32" s="27">
        <v>146482</v>
      </c>
      <c r="U32" s="27">
        <v>201010</v>
      </c>
      <c r="V32" s="27">
        <f>215760+7423</f>
        <v>223183</v>
      </c>
      <c r="W32" s="27">
        <f>194734+7454</f>
        <v>202188</v>
      </c>
      <c r="X32" s="36">
        <f>158232+5273</f>
        <v>163505</v>
      </c>
      <c r="Y32" s="14">
        <f>193552+7791</f>
        <v>201343</v>
      </c>
      <c r="Z32" s="14">
        <v>342054</v>
      </c>
      <c r="AA32" s="80">
        <v>259230</v>
      </c>
      <c r="AB32" s="1">
        <v>345123</v>
      </c>
      <c r="AC32" s="1">
        <v>360118</v>
      </c>
      <c r="AD32" s="14"/>
      <c r="AE32" s="156">
        <v>599875.42</v>
      </c>
      <c r="AF32" s="158">
        <v>18959.09</v>
      </c>
      <c r="AG32" s="3">
        <f>SUM(AE32:AF32)</f>
        <v>618834.51</v>
      </c>
      <c r="AI32" s="3">
        <v>361722.83</v>
      </c>
      <c r="AJ32" s="3">
        <v>11423.43</v>
      </c>
      <c r="AK32" s="3">
        <f>SUM(AI32:AJ32)</f>
        <v>373146.26</v>
      </c>
      <c r="AM32" s="3">
        <v>224583.91</v>
      </c>
      <c r="AN32" s="3">
        <v>5581.68</v>
      </c>
      <c r="AO32" s="3">
        <f>SUM(AM32:AN32)</f>
        <v>230165.59</v>
      </c>
      <c r="AQ32" s="3">
        <v>426133.77</v>
      </c>
      <c r="AR32" s="3">
        <v>9088.11</v>
      </c>
      <c r="AS32" s="3">
        <f>SUM(AQ32:AR32)</f>
        <v>435221.88</v>
      </c>
      <c r="AU32" s="3">
        <v>567747.87</v>
      </c>
      <c r="AV32" s="3">
        <v>13108.43</v>
      </c>
      <c r="AW32" s="3">
        <f>SUM(AU32:AV32)</f>
        <v>580856.3</v>
      </c>
      <c r="AY32" s="3">
        <v>430929.43</v>
      </c>
      <c r="AZ32" s="3">
        <v>12704.73</v>
      </c>
      <c r="BA32" s="3">
        <f>SUM(AY32:AZ32)</f>
        <v>443634.16</v>
      </c>
      <c r="BC32" s="3">
        <v>218997.76</v>
      </c>
      <c r="BD32" s="3">
        <v>0</v>
      </c>
      <c r="BE32" s="3">
        <f>SUM(BC32:BD32)</f>
        <v>218997.76</v>
      </c>
    </row>
    <row r="33" spans="1:57" ht="12.75">
      <c r="A33" s="1" t="s">
        <v>24</v>
      </c>
      <c r="B33" s="1">
        <v>285120</v>
      </c>
      <c r="C33" s="1">
        <v>466585</v>
      </c>
      <c r="D33" s="1">
        <v>527626</v>
      </c>
      <c r="E33" s="1">
        <v>1212430</v>
      </c>
      <c r="F33" s="1">
        <v>641617</v>
      </c>
      <c r="G33" s="1">
        <v>654267.32</v>
      </c>
      <c r="H33" s="1">
        <v>703644.94</v>
      </c>
      <c r="I33" s="1">
        <v>732416.58</v>
      </c>
      <c r="J33" s="1">
        <v>813637.9500000001</v>
      </c>
      <c r="K33" s="1">
        <v>1158429.62</v>
      </c>
      <c r="L33" s="244">
        <f>(K33-J33)*100/J33</f>
        <v>42.3765472099722</v>
      </c>
      <c r="M33" s="244">
        <f>(K33-AC33)*100/AC33</f>
        <v>280.8594170211927</v>
      </c>
      <c r="N33" s="14">
        <v>219996</v>
      </c>
      <c r="O33" s="14">
        <v>187161</v>
      </c>
      <c r="P33" s="27">
        <v>209906</v>
      </c>
      <c r="Q33" s="27">
        <v>279962</v>
      </c>
      <c r="R33" s="27">
        <v>394628</v>
      </c>
      <c r="S33" s="27">
        <v>403842</v>
      </c>
      <c r="T33" s="27">
        <v>538898</v>
      </c>
      <c r="U33" s="27">
        <v>515695</v>
      </c>
      <c r="V33" s="27">
        <f>411289+3985</f>
        <v>415274</v>
      </c>
      <c r="W33" s="27">
        <f>349123+3577</f>
        <v>352700</v>
      </c>
      <c r="X33" s="36">
        <f>572318+3599</f>
        <v>575917</v>
      </c>
      <c r="Y33" s="14">
        <f>281495+2930</f>
        <v>284425</v>
      </c>
      <c r="Z33" s="14">
        <v>486269</v>
      </c>
      <c r="AA33" s="80">
        <v>610723</v>
      </c>
      <c r="AB33" s="1">
        <v>719622</v>
      </c>
      <c r="AC33" s="1">
        <v>304162</v>
      </c>
      <c r="AD33" s="14"/>
      <c r="AE33" s="156">
        <v>1178575.99</v>
      </c>
      <c r="AF33" s="158">
        <v>33854.26</v>
      </c>
      <c r="AG33" s="3">
        <f>SUM(AE33:AF33)</f>
        <v>1212430.25</v>
      </c>
      <c r="AI33" s="3">
        <v>641616.52</v>
      </c>
      <c r="AJ33" s="3">
        <v>0</v>
      </c>
      <c r="AK33" s="3">
        <f>SUM(AI33:AJ33)</f>
        <v>641616.52</v>
      </c>
      <c r="AM33" s="3">
        <v>654267.32</v>
      </c>
      <c r="AN33" s="3">
        <v>0</v>
      </c>
      <c r="AO33" s="3">
        <f>SUM(AM33:AN33)</f>
        <v>654267.32</v>
      </c>
      <c r="AQ33" s="3">
        <v>703644.94</v>
      </c>
      <c r="AR33" s="3">
        <v>0</v>
      </c>
      <c r="AS33" s="3">
        <f>SUM(AQ33:AR33)</f>
        <v>703644.94</v>
      </c>
      <c r="AU33" s="3">
        <v>732416.58</v>
      </c>
      <c r="AV33" s="3">
        <v>0</v>
      </c>
      <c r="AW33" s="3">
        <f>SUM(AU33:AV33)</f>
        <v>732416.58</v>
      </c>
      <c r="AY33" s="3">
        <v>813637.9500000001</v>
      </c>
      <c r="AZ33" s="3">
        <v>0</v>
      </c>
      <c r="BA33" s="3">
        <f>SUM(AY33:AZ33)</f>
        <v>813637.9500000001</v>
      </c>
      <c r="BC33" s="3">
        <v>1158429.62</v>
      </c>
      <c r="BD33" s="3">
        <v>0</v>
      </c>
      <c r="BE33" s="3">
        <f>SUM(BC33:BD33)</f>
        <v>1158429.62</v>
      </c>
    </row>
    <row r="34" spans="1:57" ht="12.75">
      <c r="A34" s="1" t="s">
        <v>25</v>
      </c>
      <c r="B34" s="1">
        <v>210161</v>
      </c>
      <c r="C34" s="1">
        <v>167096</v>
      </c>
      <c r="D34" s="1">
        <v>272583</v>
      </c>
      <c r="E34" s="1">
        <v>223475</v>
      </c>
      <c r="F34" s="1">
        <v>220333</v>
      </c>
      <c r="G34" s="1">
        <v>170509.72</v>
      </c>
      <c r="H34" s="1">
        <v>251772.83</v>
      </c>
      <c r="I34" s="1">
        <v>236286.02</v>
      </c>
      <c r="J34" s="1">
        <v>183919.62</v>
      </c>
      <c r="K34" s="1">
        <v>175062.43</v>
      </c>
      <c r="L34" s="244">
        <f>(K34-J34)*100/J34</f>
        <v>-4.815793986525202</v>
      </c>
      <c r="M34" s="244">
        <f>(K34-AC34)*100/AC34</f>
        <v>2.567028550336589</v>
      </c>
      <c r="N34" s="14">
        <v>62473</v>
      </c>
      <c r="O34" s="14">
        <v>66902</v>
      </c>
      <c r="P34" s="27">
        <v>62218</v>
      </c>
      <c r="Q34" s="27">
        <v>82022</v>
      </c>
      <c r="R34" s="27">
        <v>133107</v>
      </c>
      <c r="S34" s="27">
        <v>87005</v>
      </c>
      <c r="T34" s="27">
        <v>118429</v>
      </c>
      <c r="U34" s="27">
        <v>117973</v>
      </c>
      <c r="V34" s="27">
        <v>147489</v>
      </c>
      <c r="W34" s="27">
        <v>97631</v>
      </c>
      <c r="X34" s="36">
        <v>131808</v>
      </c>
      <c r="Y34" s="14">
        <v>119021</v>
      </c>
      <c r="Z34" s="14">
        <v>86423</v>
      </c>
      <c r="AA34" s="80">
        <v>288407</v>
      </c>
      <c r="AB34" s="1">
        <v>170568</v>
      </c>
      <c r="AC34" s="1">
        <v>170681</v>
      </c>
      <c r="AD34" s="14"/>
      <c r="AE34" s="156">
        <v>223475.02</v>
      </c>
      <c r="AF34" s="158">
        <v>0</v>
      </c>
      <c r="AG34" s="3">
        <f>SUM(AE34:AF34)</f>
        <v>223475.02</v>
      </c>
      <c r="AI34" s="3">
        <v>220332.8</v>
      </c>
      <c r="AJ34" s="3">
        <v>0</v>
      </c>
      <c r="AK34" s="3">
        <f>SUM(AI34:AJ34)</f>
        <v>220332.8</v>
      </c>
      <c r="AM34" s="3">
        <v>170509.72</v>
      </c>
      <c r="AN34" s="3">
        <v>0</v>
      </c>
      <c r="AO34" s="3">
        <f>SUM(AM34:AN34)</f>
        <v>170509.72</v>
      </c>
      <c r="AQ34" s="3">
        <v>251772.83</v>
      </c>
      <c r="AR34" s="3">
        <v>0</v>
      </c>
      <c r="AS34" s="3">
        <f>SUM(AQ34:AR34)</f>
        <v>251772.83</v>
      </c>
      <c r="AU34" s="3">
        <v>236286.02</v>
      </c>
      <c r="AV34" s="3">
        <v>0</v>
      </c>
      <c r="AW34" s="3">
        <f>SUM(AU34:AV34)</f>
        <v>236286.02</v>
      </c>
      <c r="AY34" s="3">
        <v>183919.62</v>
      </c>
      <c r="AZ34" s="3">
        <v>0</v>
      </c>
      <c r="BA34" s="3">
        <f>SUM(AY34:AZ34)</f>
        <v>183919.62</v>
      </c>
      <c r="BC34" s="3">
        <v>175062.43</v>
      </c>
      <c r="BD34" s="3">
        <v>0</v>
      </c>
      <c r="BE34" s="3">
        <f>SUM(BC34:BD34)</f>
        <v>175062.43</v>
      </c>
    </row>
    <row r="35" spans="12:32" ht="12.75">
      <c r="L35" s="244"/>
      <c r="M35" s="244"/>
      <c r="O35" s="14"/>
      <c r="P35" s="27"/>
      <c r="Q35" s="27"/>
      <c r="R35" s="27"/>
      <c r="S35" s="27"/>
      <c r="T35" s="27"/>
      <c r="U35" s="27"/>
      <c r="V35" s="27"/>
      <c r="W35" s="27"/>
      <c r="X35" s="36"/>
      <c r="Y35" s="14"/>
      <c r="Z35" s="14"/>
      <c r="AA35" s="80">
        <v>0</v>
      </c>
      <c r="AB35" s="1"/>
      <c r="AC35" s="1"/>
      <c r="AD35" s="14"/>
      <c r="AE35" s="92"/>
      <c r="AF35" s="158"/>
    </row>
    <row r="36" spans="1:57" ht="12.75">
      <c r="A36" s="1" t="s">
        <v>26</v>
      </c>
      <c r="B36" s="1">
        <v>81052</v>
      </c>
      <c r="C36" s="1">
        <v>153465</v>
      </c>
      <c r="D36" s="1">
        <v>248480</v>
      </c>
      <c r="E36" s="1">
        <v>406998</v>
      </c>
      <c r="F36" s="1">
        <v>264664</v>
      </c>
      <c r="G36" s="1">
        <v>332901.6</v>
      </c>
      <c r="H36" s="1">
        <v>365504.85</v>
      </c>
      <c r="I36" s="1">
        <v>383228.17</v>
      </c>
      <c r="J36" s="1">
        <v>285708.23000000004</v>
      </c>
      <c r="K36" s="1">
        <v>215547.72</v>
      </c>
      <c r="L36" s="244">
        <f>(K36-J36)*100/J36</f>
        <v>-24.556698979234874</v>
      </c>
      <c r="M36" s="244">
        <f>(K36-AC36)*100/AC36</f>
        <v>25.963639338705814</v>
      </c>
      <c r="N36" s="14">
        <v>47758</v>
      </c>
      <c r="O36" s="14">
        <v>41689</v>
      </c>
      <c r="P36" s="27">
        <v>62674</v>
      </c>
      <c r="Q36" s="27">
        <v>115603</v>
      </c>
      <c r="R36" s="27">
        <v>67191</v>
      </c>
      <c r="S36" s="27">
        <v>89180</v>
      </c>
      <c r="T36" s="27">
        <v>152822</v>
      </c>
      <c r="U36" s="27">
        <v>54399</v>
      </c>
      <c r="V36" s="27">
        <f>95767+92</f>
        <v>95859</v>
      </c>
      <c r="W36" s="27">
        <f>113375+576</f>
        <v>113951</v>
      </c>
      <c r="X36" s="36">
        <v>205583</v>
      </c>
      <c r="Y36" s="14">
        <v>108056</v>
      </c>
      <c r="Z36" s="14">
        <v>77308</v>
      </c>
      <c r="AA36" s="80">
        <v>254153</v>
      </c>
      <c r="AB36" s="1">
        <v>163221</v>
      </c>
      <c r="AC36" s="1">
        <v>171119</v>
      </c>
      <c r="AD36" s="14"/>
      <c r="AE36" s="156">
        <v>399703.9</v>
      </c>
      <c r="AF36" s="158">
        <v>7293.64</v>
      </c>
      <c r="AG36" s="3">
        <f>SUM(AE36:AF36)</f>
        <v>406997.54000000004</v>
      </c>
      <c r="AI36" s="3">
        <v>264663.78</v>
      </c>
      <c r="AJ36" s="3">
        <v>0</v>
      </c>
      <c r="AK36" s="3">
        <f>SUM(AI36:AJ36)</f>
        <v>264663.78</v>
      </c>
      <c r="AM36" s="3">
        <v>332901.6</v>
      </c>
      <c r="AN36" s="3">
        <v>0</v>
      </c>
      <c r="AO36" s="3">
        <f>SUM(AM36:AN36)</f>
        <v>332901.6</v>
      </c>
      <c r="AQ36" s="3">
        <v>365504.85</v>
      </c>
      <c r="AR36" s="3">
        <v>0</v>
      </c>
      <c r="AS36" s="3">
        <f>SUM(AQ36:AR36)</f>
        <v>365504.85</v>
      </c>
      <c r="AU36" s="3">
        <v>383228.17</v>
      </c>
      <c r="AV36" s="3">
        <v>0</v>
      </c>
      <c r="AW36" s="3">
        <f>SUM(AU36:AV36)</f>
        <v>383228.17</v>
      </c>
      <c r="AY36" s="3">
        <v>277584.84</v>
      </c>
      <c r="AZ36" s="3">
        <v>8123.39</v>
      </c>
      <c r="BA36" s="3">
        <f>SUM(AY36:AZ36)</f>
        <v>285708.23000000004</v>
      </c>
      <c r="BC36" s="3">
        <v>210671.92</v>
      </c>
      <c r="BD36" s="3">
        <v>4875.8</v>
      </c>
      <c r="BE36" s="3">
        <f>SUM(BC36:BD36)</f>
        <v>215547.72</v>
      </c>
    </row>
    <row r="37" spans="1:57" ht="12.75">
      <c r="A37" s="1" t="s">
        <v>27</v>
      </c>
      <c r="B37" s="1">
        <v>675768</v>
      </c>
      <c r="C37" s="1">
        <v>618174</v>
      </c>
      <c r="D37" s="1">
        <v>1171571</v>
      </c>
      <c r="E37" s="1">
        <v>2097590</v>
      </c>
      <c r="F37" s="1">
        <v>2261056</v>
      </c>
      <c r="G37" s="1">
        <v>1517301.37</v>
      </c>
      <c r="H37" s="1">
        <v>1710284</v>
      </c>
      <c r="I37" s="1">
        <v>1799166.65</v>
      </c>
      <c r="J37" s="1">
        <v>1970734.3599999999</v>
      </c>
      <c r="K37" s="1">
        <v>1249559.49</v>
      </c>
      <c r="L37" s="244">
        <f>(K37-J37)*100/J37</f>
        <v>-36.59422013629477</v>
      </c>
      <c r="M37" s="244">
        <f>(K37-AC37)*100/AC37</f>
        <v>72.46007728935201</v>
      </c>
      <c r="N37" s="14">
        <v>317648</v>
      </c>
      <c r="O37" s="14">
        <v>247394</v>
      </c>
      <c r="P37" s="27">
        <v>305873</v>
      </c>
      <c r="Q37" s="27">
        <v>354754</v>
      </c>
      <c r="R37" s="27">
        <v>401453</v>
      </c>
      <c r="S37" s="27">
        <v>422858</v>
      </c>
      <c r="T37" s="27">
        <v>410393</v>
      </c>
      <c r="U37" s="27">
        <v>353038</v>
      </c>
      <c r="V37" s="27">
        <v>626062</v>
      </c>
      <c r="W37" s="27">
        <v>716432</v>
      </c>
      <c r="X37" s="36">
        <v>700384</v>
      </c>
      <c r="Y37" s="14">
        <v>607790</v>
      </c>
      <c r="Z37" s="14">
        <v>818586</v>
      </c>
      <c r="AA37" s="80">
        <v>1183676</v>
      </c>
      <c r="AB37" s="1">
        <v>692124</v>
      </c>
      <c r="AC37" s="1">
        <v>724550</v>
      </c>
      <c r="AD37" s="14"/>
      <c r="AE37" s="156">
        <v>2097590.48</v>
      </c>
      <c r="AF37" s="158">
        <v>0</v>
      </c>
      <c r="AG37" s="3">
        <f>SUM(AE37:AF37)</f>
        <v>2097590.48</v>
      </c>
      <c r="AI37" s="3">
        <v>2261056.2</v>
      </c>
      <c r="AJ37" s="3">
        <v>0</v>
      </c>
      <c r="AK37" s="3">
        <f>SUM(AI37:AJ37)</f>
        <v>2261056.2</v>
      </c>
      <c r="AM37" s="3">
        <v>1514110.37</v>
      </c>
      <c r="AN37" s="3">
        <v>3191</v>
      </c>
      <c r="AO37" s="3">
        <f>SUM(AM37:AN37)</f>
        <v>1517301.37</v>
      </c>
      <c r="AQ37" s="3">
        <v>1710284</v>
      </c>
      <c r="AR37" s="3">
        <v>0</v>
      </c>
      <c r="AS37" s="3">
        <f>SUM(AQ37:AR37)</f>
        <v>1710284</v>
      </c>
      <c r="AU37" s="3">
        <v>1799166.65</v>
      </c>
      <c r="AV37" s="3">
        <v>0</v>
      </c>
      <c r="AW37" s="3">
        <f>SUM(AU37:AV37)</f>
        <v>1799166.65</v>
      </c>
      <c r="AY37" s="3">
        <v>1970734.3599999999</v>
      </c>
      <c r="AZ37" s="3">
        <v>0</v>
      </c>
      <c r="BA37" s="3">
        <f>SUM(AY37:AZ37)</f>
        <v>1970734.3599999999</v>
      </c>
      <c r="BC37" s="3">
        <v>1228110.49</v>
      </c>
      <c r="BD37" s="3">
        <v>21449</v>
      </c>
      <c r="BE37" s="3">
        <f>SUM(BC37:BD37)</f>
        <v>1249559.49</v>
      </c>
    </row>
    <row r="38" spans="1:57" ht="12.75">
      <c r="A38" s="1" t="s">
        <v>28</v>
      </c>
      <c r="B38" s="1">
        <v>933176</v>
      </c>
      <c r="C38" s="1">
        <v>748557</v>
      </c>
      <c r="D38" s="1">
        <v>1128373</v>
      </c>
      <c r="E38" s="1">
        <v>894983</v>
      </c>
      <c r="F38" s="1">
        <v>974063</v>
      </c>
      <c r="G38" s="1">
        <v>1155433.04</v>
      </c>
      <c r="H38" s="1">
        <v>1256466.99</v>
      </c>
      <c r="I38" s="1">
        <v>1092046.48</v>
      </c>
      <c r="J38" s="1">
        <v>1005506.2799999999</v>
      </c>
      <c r="K38" s="1">
        <v>1027627.29</v>
      </c>
      <c r="L38" s="244">
        <f>(K38-J38)*100/J38</f>
        <v>2.199987254182055</v>
      </c>
      <c r="M38" s="244">
        <f>(K38-AC38)*100/AC38</f>
        <v>19.684153335134685</v>
      </c>
      <c r="N38" s="14">
        <v>348158</v>
      </c>
      <c r="O38" s="14">
        <v>292779</v>
      </c>
      <c r="P38" s="27">
        <v>406633</v>
      </c>
      <c r="Q38" s="27">
        <v>469013</v>
      </c>
      <c r="R38" s="27">
        <v>399569</v>
      </c>
      <c r="S38" s="27">
        <v>675290</v>
      </c>
      <c r="T38" s="27">
        <v>469003</v>
      </c>
      <c r="U38" s="27">
        <v>230867</v>
      </c>
      <c r="V38" s="27">
        <f>463840+4197</f>
        <v>468037</v>
      </c>
      <c r="W38" s="27">
        <f>475380+4467</f>
        <v>479847</v>
      </c>
      <c r="X38" s="36">
        <f>510056+4106</f>
        <v>514162</v>
      </c>
      <c r="Y38" s="14">
        <f>740924+3230</f>
        <v>744154</v>
      </c>
      <c r="Z38" s="14">
        <v>787904</v>
      </c>
      <c r="AA38" s="80">
        <v>890392</v>
      </c>
      <c r="AB38" s="1">
        <v>779076</v>
      </c>
      <c r="AC38" s="1">
        <v>858616</v>
      </c>
      <c r="AD38" s="14"/>
      <c r="AE38" s="156">
        <v>894596.42</v>
      </c>
      <c r="AF38" s="158">
        <v>386.51</v>
      </c>
      <c r="AG38" s="3">
        <f>SUM(AE38:AF38)</f>
        <v>894982.93</v>
      </c>
      <c r="AI38" s="3">
        <v>972667.07</v>
      </c>
      <c r="AJ38" s="3">
        <v>1396.26</v>
      </c>
      <c r="AK38" s="3">
        <f>SUM(AI38:AJ38)</f>
        <v>974063.33</v>
      </c>
      <c r="AM38" s="3">
        <v>1153209.43</v>
      </c>
      <c r="AN38" s="3">
        <v>2223.61</v>
      </c>
      <c r="AO38" s="3">
        <f>SUM(AM38:AN38)</f>
        <v>1155433.04</v>
      </c>
      <c r="AQ38" s="3">
        <v>1244005.99</v>
      </c>
      <c r="AR38" s="3">
        <v>12461</v>
      </c>
      <c r="AS38" s="3">
        <f>SUM(AQ38:AR38)</f>
        <v>1256466.99</v>
      </c>
      <c r="AU38" s="3">
        <v>1080736.48</v>
      </c>
      <c r="AV38" s="3">
        <v>11310</v>
      </c>
      <c r="AW38" s="3">
        <f>SUM(AU38:AV38)</f>
        <v>1092046.48</v>
      </c>
      <c r="AY38" s="3">
        <v>994266.8899999999</v>
      </c>
      <c r="AZ38" s="3">
        <v>11239.39</v>
      </c>
      <c r="BA38" s="3">
        <f>SUM(AY38:AZ38)</f>
        <v>1005506.2799999999</v>
      </c>
      <c r="BC38" s="3">
        <v>1019688.75</v>
      </c>
      <c r="BD38" s="3">
        <v>7938.54</v>
      </c>
      <c r="BE38" s="3">
        <f>SUM(BC38:BD38)</f>
        <v>1027627.29</v>
      </c>
    </row>
    <row r="39" spans="1:57" ht="12.75">
      <c r="A39" s="17" t="s">
        <v>29</v>
      </c>
      <c r="B39" s="1">
        <v>336829</v>
      </c>
      <c r="C39" s="1">
        <v>373545</v>
      </c>
      <c r="D39" s="1">
        <v>502910</v>
      </c>
      <c r="E39" s="1">
        <v>462088</v>
      </c>
      <c r="F39" s="1">
        <v>596364</v>
      </c>
      <c r="G39" s="1">
        <v>496619.31</v>
      </c>
      <c r="H39" s="1">
        <v>423439.48</v>
      </c>
      <c r="I39" s="1">
        <v>368728.14</v>
      </c>
      <c r="J39" s="1">
        <v>414403.51</v>
      </c>
      <c r="K39" s="1">
        <v>264830.6</v>
      </c>
      <c r="L39" s="244">
        <f>(K39-J39)*100/J39</f>
        <v>-36.0935432231257</v>
      </c>
      <c r="M39" s="244">
        <f>(K39-AC39)*100/AC39</f>
        <v>-24.1264375060881</v>
      </c>
      <c r="N39" s="14">
        <v>100647</v>
      </c>
      <c r="O39" s="14">
        <v>146331</v>
      </c>
      <c r="P39" s="27">
        <v>188313</v>
      </c>
      <c r="Q39" s="27">
        <v>188609</v>
      </c>
      <c r="R39" s="27">
        <v>212064</v>
      </c>
      <c r="S39" s="257">
        <v>277432</v>
      </c>
      <c r="T39" s="257">
        <v>269579</v>
      </c>
      <c r="U39" s="257">
        <v>310810</v>
      </c>
      <c r="V39" s="27">
        <f>389147+5636</f>
        <v>394783</v>
      </c>
      <c r="W39" s="257">
        <f>248351+2780</f>
        <v>251131</v>
      </c>
      <c r="X39" s="71">
        <f>270233+554</f>
        <v>270787</v>
      </c>
      <c r="Y39" s="14">
        <f>356168+37</f>
        <v>356205</v>
      </c>
      <c r="Z39" s="24">
        <v>380330</v>
      </c>
      <c r="AA39" s="80">
        <v>359253</v>
      </c>
      <c r="AB39" s="1">
        <v>40503</v>
      </c>
      <c r="AC39" s="1">
        <v>349042</v>
      </c>
      <c r="AD39" s="14"/>
      <c r="AE39" s="107">
        <v>461209.98</v>
      </c>
      <c r="AF39" s="107">
        <v>878.05</v>
      </c>
      <c r="AG39" s="3">
        <f>SUM(AE39:AF39)</f>
        <v>462088.02999999997</v>
      </c>
      <c r="AI39" s="3">
        <v>594861.99</v>
      </c>
      <c r="AJ39" s="3">
        <v>1502.26</v>
      </c>
      <c r="AK39" s="3">
        <f>SUM(AI39:AJ39)</f>
        <v>596364.25</v>
      </c>
      <c r="AM39" s="3">
        <v>496619.31</v>
      </c>
      <c r="AN39" s="3">
        <v>0</v>
      </c>
      <c r="AO39" s="3">
        <f>SUM(AM39:AN39)</f>
        <v>496619.31</v>
      </c>
      <c r="AQ39" s="3">
        <v>420749.77</v>
      </c>
      <c r="AR39" s="3">
        <v>2689.71</v>
      </c>
      <c r="AS39" s="3">
        <f>SUM(AQ39:AR39)</f>
        <v>423439.48000000004</v>
      </c>
      <c r="AU39" s="3">
        <v>363513.47</v>
      </c>
      <c r="AV39" s="3">
        <v>5214.67</v>
      </c>
      <c r="AW39" s="3">
        <f>SUM(AU39:AV39)</f>
        <v>368728.13999999996</v>
      </c>
      <c r="AY39" s="3">
        <v>414295.88</v>
      </c>
      <c r="AZ39" s="3">
        <v>107.63</v>
      </c>
      <c r="BA39" s="3">
        <f>SUM(AY39:AZ39)</f>
        <v>414403.51</v>
      </c>
      <c r="BC39" s="3">
        <v>261579.11</v>
      </c>
      <c r="BD39" s="3">
        <v>3251.49</v>
      </c>
      <c r="BE39" s="3">
        <f>SUM(BC39:BD39)</f>
        <v>264830.6</v>
      </c>
    </row>
    <row r="40" spans="1:26" ht="12.75">
      <c r="A40" s="1" t="s">
        <v>298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Q40" s="18"/>
      <c r="R40" s="18"/>
      <c r="S40" s="18"/>
      <c r="W40" s="18"/>
      <c r="Z40" s="19"/>
    </row>
    <row r="41" spans="1:26" ht="12.75">
      <c r="A41" s="307"/>
      <c r="Z41" s="14"/>
    </row>
    <row r="42" spans="17:26" ht="12.75">
      <c r="Q42" s="14"/>
      <c r="R42" s="14"/>
      <c r="S42" s="14"/>
      <c r="W42" s="14"/>
      <c r="Z42" s="14"/>
    </row>
    <row r="43" spans="17:26" ht="12.75">
      <c r="Q43" s="14"/>
      <c r="R43" s="14"/>
      <c r="S43" s="14"/>
      <c r="W43" s="14"/>
      <c r="Z43" s="14"/>
    </row>
    <row r="44" spans="17:26" ht="12.75">
      <c r="Q44" s="14"/>
      <c r="R44" s="14"/>
      <c r="S44" s="14"/>
      <c r="W44" s="14"/>
      <c r="Z44" s="14"/>
    </row>
    <row r="45" spans="17:26" ht="12.75">
      <c r="Q45" s="14"/>
      <c r="R45" s="14"/>
      <c r="S45" s="14"/>
      <c r="W45" s="14"/>
      <c r="Z45" s="14"/>
    </row>
    <row r="46" spans="17:26" ht="12.75">
      <c r="Q46" s="14"/>
      <c r="R46" s="14"/>
      <c r="S46" s="14"/>
      <c r="W46" s="14"/>
      <c r="Z46" s="14"/>
    </row>
    <row r="47" ht="12.75">
      <c r="Z47" s="14"/>
    </row>
    <row r="48" ht="12.75">
      <c r="Z48" s="14"/>
    </row>
    <row r="49" ht="12.75">
      <c r="Z49" s="14"/>
    </row>
    <row r="50" ht="12.75">
      <c r="Z50" s="14"/>
    </row>
    <row r="51" ht="12.75">
      <c r="Z51" s="14"/>
    </row>
    <row r="52" ht="12.75">
      <c r="Z52" s="14"/>
    </row>
    <row r="53" ht="12.75">
      <c r="Z53" s="14"/>
    </row>
  </sheetData>
  <sheetProtection password="CAF5" sheet="1"/>
  <mergeCells count="9">
    <mergeCell ref="AU6:AW6"/>
    <mergeCell ref="A1:M1"/>
    <mergeCell ref="AQ6:AS6"/>
    <mergeCell ref="L7:M7"/>
    <mergeCell ref="AE6:AG6"/>
    <mergeCell ref="AI6:AK6"/>
    <mergeCell ref="AM6:AO6"/>
    <mergeCell ref="A4:M4"/>
    <mergeCell ref="A3:M3"/>
  </mergeCells>
  <printOptions/>
  <pageMargins left="0.56" right="0.54" top="1" bottom="1" header="0.5" footer="0.5"/>
  <pageSetup fitToHeight="1" fitToWidth="1" orientation="landscape" scale="81" r:id="rId1"/>
  <headerFooter scaleWithDoc="0" alignWithMargins="0">
    <oddFooter>&amp;L&amp;"Arial,Italic"&amp;10MSDE-LFRO  10 / 2011&amp;C&amp;"Arial,Regular"&amp;10- 13 -&amp;R&amp;"Arial,Italic"&amp;10Selected Financial Data - Part 4</oddFooter>
  </headerFooter>
  <rowBreaks count="1" manualBreakCount="1">
    <brk id="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6"/>
  <sheetViews>
    <sheetView zoomScalePageLayoutView="0" workbookViewId="0" topLeftCell="A31">
      <selection activeCell="A42" sqref="A42"/>
    </sheetView>
  </sheetViews>
  <sheetFormatPr defaultColWidth="10.00390625" defaultRowHeight="15.75"/>
  <cols>
    <col min="1" max="1" width="12.875" style="1" customWidth="1"/>
    <col min="2" max="7" width="12.625" style="1" customWidth="1"/>
    <col min="8" max="8" width="11.375" style="1" customWidth="1"/>
    <col min="9" max="9" width="10.75390625" style="1" customWidth="1"/>
    <col min="10" max="11" width="11.125" style="1" customWidth="1"/>
    <col min="12" max="12" width="7.375" style="1" customWidth="1"/>
    <col min="13" max="13" width="8.00390625" style="1" bestFit="1" customWidth="1"/>
    <col min="14" max="14" width="9.375" style="1" bestFit="1" customWidth="1"/>
    <col min="15" max="19" width="10.125" style="1" customWidth="1"/>
    <col min="20" max="21" width="10.125" style="3" customWidth="1"/>
    <col min="22" max="22" width="9.375" style="1" bestFit="1" customWidth="1"/>
    <col min="23" max="24" width="10.625" style="1" customWidth="1"/>
    <col min="25" max="25" width="12.625" style="1" customWidth="1"/>
    <col min="26" max="26" width="10.875" style="3" bestFit="1" customWidth="1"/>
    <col min="27" max="29" width="10.875" style="3" customWidth="1"/>
    <col min="30" max="30" width="7.50390625" style="3" customWidth="1"/>
    <col min="31" max="33" width="10.125" style="3" customWidth="1"/>
    <col min="34" max="34" width="3.625" style="3" customWidth="1"/>
    <col min="35" max="41" width="10.125" style="3" customWidth="1"/>
    <col min="42" max="42" width="2.50390625" style="3" customWidth="1"/>
    <col min="43" max="45" width="10.00390625" style="3" customWidth="1"/>
    <col min="46" max="46" width="3.50390625" style="3" customWidth="1"/>
    <col min="47" max="16384" width="10.00390625" style="3" customWidth="1"/>
  </cols>
  <sheetData>
    <row r="1" spans="1:25" s="30" customFormat="1" ht="15.75" customHeight="1">
      <c r="A1" s="314" t="s">
        <v>97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29"/>
      <c r="O1" s="31"/>
      <c r="P1" s="31"/>
      <c r="Q1" s="31"/>
      <c r="V1" s="116"/>
      <c r="W1" s="116"/>
      <c r="X1" s="116"/>
      <c r="Y1" s="116"/>
    </row>
    <row r="2" spans="1:25" s="30" customFormat="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31"/>
      <c r="O2" s="31"/>
      <c r="P2" s="31"/>
      <c r="Q2" s="31"/>
      <c r="V2" s="116"/>
      <c r="W2" s="116"/>
      <c r="X2" s="116"/>
      <c r="Y2" s="116"/>
    </row>
    <row r="3" spans="1:25" s="30" customFormat="1" ht="12.75">
      <c r="A3" s="314" t="s">
        <v>223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182"/>
      <c r="O3" s="183"/>
      <c r="P3" s="183"/>
      <c r="Q3" s="183"/>
      <c r="R3" s="183"/>
      <c r="S3" s="183"/>
      <c r="T3" s="183"/>
      <c r="V3" s="116"/>
      <c r="W3" s="116"/>
      <c r="X3" s="116"/>
      <c r="Y3" s="116"/>
    </row>
    <row r="4" spans="1:39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201"/>
      <c r="P4" s="201"/>
      <c r="Q4" s="10"/>
      <c r="T4" s="1"/>
      <c r="U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"/>
    </row>
    <row r="5" spans="1:57" s="30" customFormat="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V5" s="184"/>
      <c r="W5" s="33"/>
      <c r="X5" s="33"/>
      <c r="AE5" s="334" t="s">
        <v>203</v>
      </c>
      <c r="AF5" s="334"/>
      <c r="AG5" s="334"/>
      <c r="AI5" s="334" t="s">
        <v>204</v>
      </c>
      <c r="AJ5" s="334"/>
      <c r="AK5" s="334"/>
      <c r="AM5" s="334" t="s">
        <v>242</v>
      </c>
      <c r="AN5" s="334"/>
      <c r="AO5" s="334"/>
      <c r="AQ5" s="334" t="s">
        <v>251</v>
      </c>
      <c r="AR5" s="334"/>
      <c r="AS5" s="334"/>
      <c r="AU5" s="334" t="s">
        <v>264</v>
      </c>
      <c r="AV5" s="334"/>
      <c r="AW5" s="334"/>
      <c r="AY5" s="315" t="s">
        <v>278</v>
      </c>
      <c r="AZ5" s="334"/>
      <c r="BA5" s="334"/>
      <c r="BC5" s="315" t="s">
        <v>291</v>
      </c>
      <c r="BD5" s="334"/>
      <c r="BE5" s="334"/>
    </row>
    <row r="6" spans="1:56" s="30" customFormat="1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185" t="s">
        <v>141</v>
      </c>
      <c r="AF6" s="185" t="s">
        <v>163</v>
      </c>
      <c r="AI6" s="185" t="s">
        <v>141</v>
      </c>
      <c r="AJ6" s="185" t="s">
        <v>163</v>
      </c>
      <c r="AM6" s="185" t="s">
        <v>141</v>
      </c>
      <c r="AN6" s="185" t="s">
        <v>163</v>
      </c>
      <c r="AQ6" s="185" t="s">
        <v>141</v>
      </c>
      <c r="AR6" s="185" t="s">
        <v>163</v>
      </c>
      <c r="AU6" s="185" t="s">
        <v>141</v>
      </c>
      <c r="AV6" s="185" t="s">
        <v>163</v>
      </c>
      <c r="AY6" s="185" t="s">
        <v>141</v>
      </c>
      <c r="AZ6" s="185" t="s">
        <v>163</v>
      </c>
      <c r="BC6" s="185" t="s">
        <v>141</v>
      </c>
      <c r="BD6" s="185" t="s">
        <v>163</v>
      </c>
    </row>
    <row r="7" spans="1:56" s="30" customFormat="1" ht="12.75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315" t="s">
        <v>34</v>
      </c>
      <c r="M7" s="315"/>
      <c r="O7" s="33"/>
      <c r="P7" s="33"/>
      <c r="Q7" s="33"/>
      <c r="R7" s="33"/>
      <c r="U7" s="33"/>
      <c r="V7" s="33"/>
      <c r="W7" s="33"/>
      <c r="X7" s="33"/>
      <c r="Y7" s="33"/>
      <c r="Z7" s="33"/>
      <c r="AA7" s="33"/>
      <c r="AD7" s="33"/>
      <c r="AE7" s="39" t="s">
        <v>136</v>
      </c>
      <c r="AF7" s="29"/>
      <c r="AI7" s="39" t="s">
        <v>136</v>
      </c>
      <c r="AJ7" s="29"/>
      <c r="AM7" s="39" t="s">
        <v>136</v>
      </c>
      <c r="AN7" s="29"/>
      <c r="AQ7" s="39" t="s">
        <v>136</v>
      </c>
      <c r="AR7" s="29"/>
      <c r="AU7" s="39" t="s">
        <v>136</v>
      </c>
      <c r="AV7" s="29"/>
      <c r="AY7" s="39" t="s">
        <v>136</v>
      </c>
      <c r="AZ7" s="29"/>
      <c r="BC7" s="39" t="s">
        <v>136</v>
      </c>
      <c r="BD7" s="29"/>
    </row>
    <row r="8" spans="1:57" s="30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33"/>
      <c r="P8" s="33"/>
      <c r="Q8" s="33"/>
      <c r="R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9" t="s">
        <v>137</v>
      </c>
      <c r="AF8" s="39" t="s">
        <v>136</v>
      </c>
      <c r="AG8" s="103" t="s">
        <v>164</v>
      </c>
      <c r="AI8" s="39" t="s">
        <v>137</v>
      </c>
      <c r="AJ8" s="39" t="s">
        <v>136</v>
      </c>
      <c r="AK8" s="103" t="s">
        <v>164</v>
      </c>
      <c r="AM8" s="39" t="s">
        <v>137</v>
      </c>
      <c r="AN8" s="39" t="s">
        <v>136</v>
      </c>
      <c r="AO8" s="103" t="s">
        <v>164</v>
      </c>
      <c r="AQ8" s="39" t="s">
        <v>137</v>
      </c>
      <c r="AR8" s="39" t="s">
        <v>136</v>
      </c>
      <c r="AS8" s="103" t="s">
        <v>164</v>
      </c>
      <c r="AU8" s="39" t="s">
        <v>137</v>
      </c>
      <c r="AV8" s="39" t="s">
        <v>136</v>
      </c>
      <c r="AW8" s="103" t="s">
        <v>164</v>
      </c>
      <c r="AY8" s="39" t="s">
        <v>137</v>
      </c>
      <c r="AZ8" s="39" t="s">
        <v>136</v>
      </c>
      <c r="BA8" s="103" t="s">
        <v>164</v>
      </c>
      <c r="BC8" s="39" t="s">
        <v>137</v>
      </c>
      <c r="BD8" s="39" t="s">
        <v>136</v>
      </c>
      <c r="BE8" s="103" t="s">
        <v>164</v>
      </c>
    </row>
    <row r="9" spans="1:57" s="30" customFormat="1" ht="13.5" thickBot="1">
      <c r="A9" s="8" t="s">
        <v>1</v>
      </c>
      <c r="B9" s="9" t="s">
        <v>105</v>
      </c>
      <c r="C9" s="9" t="s">
        <v>161</v>
      </c>
      <c r="D9" s="9" t="s">
        <v>168</v>
      </c>
      <c r="E9" s="9" t="s">
        <v>184</v>
      </c>
      <c r="F9" s="9" t="s">
        <v>194</v>
      </c>
      <c r="G9" s="9" t="s">
        <v>208</v>
      </c>
      <c r="H9" s="9" t="s">
        <v>243</v>
      </c>
      <c r="I9" s="9" t="s">
        <v>256</v>
      </c>
      <c r="J9" s="9" t="s">
        <v>269</v>
      </c>
      <c r="K9" s="9" t="s">
        <v>284</v>
      </c>
      <c r="L9" s="9" t="s">
        <v>84</v>
      </c>
      <c r="M9" s="9" t="s">
        <v>84</v>
      </c>
      <c r="N9" s="40" t="s">
        <v>2</v>
      </c>
      <c r="O9" s="40" t="s">
        <v>35</v>
      </c>
      <c r="P9" s="40" t="s">
        <v>36</v>
      </c>
      <c r="Q9" s="40" t="s">
        <v>37</v>
      </c>
      <c r="R9" s="40" t="s">
        <v>38</v>
      </c>
      <c r="S9" s="40" t="s">
        <v>39</v>
      </c>
      <c r="T9" s="40" t="s">
        <v>40</v>
      </c>
      <c r="U9" s="40" t="s">
        <v>4</v>
      </c>
      <c r="V9" s="40" t="s">
        <v>47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4"/>
      <c r="AE9" s="40" t="s">
        <v>138</v>
      </c>
      <c r="AF9" s="40" t="s">
        <v>139</v>
      </c>
      <c r="AG9" s="213" t="s">
        <v>112</v>
      </c>
      <c r="AI9" s="40" t="s">
        <v>138</v>
      </c>
      <c r="AJ9" s="40" t="s">
        <v>139</v>
      </c>
      <c r="AK9" s="213" t="s">
        <v>112</v>
      </c>
      <c r="AM9" s="40" t="s">
        <v>138</v>
      </c>
      <c r="AN9" s="40" t="s">
        <v>139</v>
      </c>
      <c r="AO9" s="213" t="s">
        <v>112</v>
      </c>
      <c r="AQ9" s="40" t="s">
        <v>138</v>
      </c>
      <c r="AR9" s="40" t="s">
        <v>139</v>
      </c>
      <c r="AS9" s="213" t="s">
        <v>112</v>
      </c>
      <c r="AU9" s="40" t="s">
        <v>138</v>
      </c>
      <c r="AV9" s="40" t="s">
        <v>139</v>
      </c>
      <c r="AW9" s="213" t="s">
        <v>112</v>
      </c>
      <c r="AY9" s="40" t="s">
        <v>138</v>
      </c>
      <c r="AZ9" s="40" t="s">
        <v>139</v>
      </c>
      <c r="BA9" s="213" t="s">
        <v>112</v>
      </c>
      <c r="BC9" s="40" t="s">
        <v>138</v>
      </c>
      <c r="BD9" s="40" t="s">
        <v>139</v>
      </c>
      <c r="BE9" s="213" t="s">
        <v>112</v>
      </c>
    </row>
    <row r="10" spans="1:57" s="30" customFormat="1" ht="12.75">
      <c r="A10" s="7" t="s">
        <v>5</v>
      </c>
      <c r="B10" s="11">
        <f aca="true" t="shared" si="0" ref="B10:G10">SUM(B12:B39)</f>
        <v>24167347</v>
      </c>
      <c r="C10" s="11">
        <f t="shared" si="0"/>
        <v>14545581</v>
      </c>
      <c r="D10" s="11">
        <f t="shared" si="0"/>
        <v>15420540</v>
      </c>
      <c r="E10" s="11">
        <f t="shared" si="0"/>
        <v>10931459</v>
      </c>
      <c r="F10" s="11">
        <f t="shared" si="0"/>
        <v>13729586</v>
      </c>
      <c r="G10" s="11">
        <f t="shared" si="0"/>
        <v>20428888.430000003</v>
      </c>
      <c r="H10" s="11">
        <f>SUM(H12:H39)</f>
        <v>19864379.630000003</v>
      </c>
      <c r="I10" s="11">
        <f>SUM(I12:I39)</f>
        <v>19723031.32</v>
      </c>
      <c r="J10" s="11">
        <f>SUM(J12:J39)</f>
        <v>13144701.239999998</v>
      </c>
      <c r="K10" s="11">
        <f>SUM(K12:K39)</f>
        <v>12164696.239999996</v>
      </c>
      <c r="L10" s="244">
        <f>(K10-J10)*100/J10</f>
        <v>-7.455513686517244</v>
      </c>
      <c r="M10" s="244">
        <f>(K10-AC10)*100/AC10</f>
        <v>-32.26002708886979</v>
      </c>
      <c r="N10" s="35">
        <f aca="true" t="shared" si="1" ref="N10:T10">SUM(N12:N39)</f>
        <v>4413633</v>
      </c>
      <c r="O10" s="35">
        <f t="shared" si="1"/>
        <v>5627928</v>
      </c>
      <c r="P10" s="35">
        <f t="shared" si="1"/>
        <v>6113711</v>
      </c>
      <c r="Q10" s="35">
        <f t="shared" si="1"/>
        <v>7223239</v>
      </c>
      <c r="R10" s="35">
        <f t="shared" si="1"/>
        <v>8226951</v>
      </c>
      <c r="S10" s="35">
        <f t="shared" si="1"/>
        <v>8443005</v>
      </c>
      <c r="T10" s="35">
        <f t="shared" si="1"/>
        <v>7208281</v>
      </c>
      <c r="U10" s="35">
        <f aca="true" t="shared" si="2" ref="U10:Z10">SUM(U12:U39)</f>
        <v>6520003</v>
      </c>
      <c r="V10" s="35">
        <f t="shared" si="2"/>
        <v>9685458</v>
      </c>
      <c r="W10" s="35">
        <f t="shared" si="2"/>
        <v>8328978</v>
      </c>
      <c r="X10" s="35">
        <f t="shared" si="2"/>
        <v>9451871</v>
      </c>
      <c r="Y10" s="35">
        <f t="shared" si="2"/>
        <v>9460835</v>
      </c>
      <c r="Z10" s="35">
        <f t="shared" si="2"/>
        <v>9368893</v>
      </c>
      <c r="AA10" s="35">
        <f>SUM(AA12:AA39)</f>
        <v>8691258</v>
      </c>
      <c r="AB10" s="35">
        <f>SUM(AB12:AB39)</f>
        <v>12578981</v>
      </c>
      <c r="AC10" s="35">
        <f>SUM(AC12:AC39)</f>
        <v>17957929</v>
      </c>
      <c r="AD10" s="35"/>
      <c r="AE10" s="104">
        <f>SUM(AE12:AE39)</f>
        <v>10810258.990000002</v>
      </c>
      <c r="AF10" s="104">
        <f>SUM(AF12:AF39)</f>
        <v>121200.00999999998</v>
      </c>
      <c r="AG10" s="30">
        <f>SUM(AE10:AF10)</f>
        <v>10931459.000000002</v>
      </c>
      <c r="AI10" s="104">
        <f>SUM(AI12:AI39)</f>
        <v>13686920.67</v>
      </c>
      <c r="AJ10" s="104">
        <f>SUM(AJ12:AJ39)</f>
        <v>42665.33</v>
      </c>
      <c r="AK10" s="30">
        <f>SUM(AI10:AJ10)</f>
        <v>13729586</v>
      </c>
      <c r="AM10" s="104">
        <f>SUM(AM12:AM39)</f>
        <v>20384570</v>
      </c>
      <c r="AN10" s="104">
        <f>SUM(AN12:AN39)</f>
        <v>44318.43</v>
      </c>
      <c r="AO10" s="104">
        <f>SUM(AO12:AO39)</f>
        <v>20428888.430000003</v>
      </c>
      <c r="AQ10" s="104">
        <f>SUM(AQ12:AQ39)</f>
        <v>19822218.010000005</v>
      </c>
      <c r="AR10" s="104">
        <f>SUM(AR12:AR39)</f>
        <v>42161.619999999995</v>
      </c>
      <c r="AS10" s="104">
        <f>SUM(AS12:AS39)</f>
        <v>19864379.630000003</v>
      </c>
      <c r="AU10" s="104">
        <f>SUM(AU12:AU39)</f>
        <v>19153940.57</v>
      </c>
      <c r="AV10" s="104">
        <f>SUM(AV12:AV39)</f>
        <v>569090.75</v>
      </c>
      <c r="AW10" s="104">
        <f>SUM(AW12:AW39)</f>
        <v>19723031.32</v>
      </c>
      <c r="AY10" s="104">
        <f>SUM(AY12:AY39)</f>
        <v>13001729.389999999</v>
      </c>
      <c r="AZ10" s="104">
        <f>SUM(AZ12:AZ39)</f>
        <v>142971.85</v>
      </c>
      <c r="BA10" s="104">
        <f>SUM(BA12:BA39)</f>
        <v>13144701.239999998</v>
      </c>
      <c r="BC10" s="104">
        <f>SUM(BC12:BC39)</f>
        <v>12090597.299999997</v>
      </c>
      <c r="BD10" s="104">
        <f>SUM(BD12:BD39)</f>
        <v>74098.94</v>
      </c>
      <c r="BE10" s="104">
        <f>SUM(BE12:BE39)</f>
        <v>12164696.239999996</v>
      </c>
    </row>
    <row r="11" spans="1:32" s="30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4"/>
      <c r="O11" s="36"/>
      <c r="R11" s="36"/>
      <c r="S11" s="36"/>
      <c r="Y11" s="36"/>
      <c r="Z11" s="36"/>
      <c r="AD11" s="36"/>
      <c r="AE11" s="105"/>
      <c r="AF11" s="33"/>
    </row>
    <row r="12" spans="1:57" s="30" customFormat="1" ht="12.75">
      <c r="A12" s="1" t="s">
        <v>6</v>
      </c>
      <c r="B12" s="1">
        <v>234399</v>
      </c>
      <c r="C12" s="1">
        <v>154068</v>
      </c>
      <c r="D12" s="1">
        <v>49271</v>
      </c>
      <c r="E12" s="1">
        <v>52424</v>
      </c>
      <c r="F12" s="1">
        <v>13997</v>
      </c>
      <c r="G12" s="1">
        <v>87525.45</v>
      </c>
      <c r="H12" s="1">
        <v>86009.87</v>
      </c>
      <c r="I12" s="1">
        <v>301951.23</v>
      </c>
      <c r="J12" s="1">
        <v>855394.03</v>
      </c>
      <c r="K12" s="1">
        <v>110293.26</v>
      </c>
      <c r="L12" s="244">
        <f>(K12-J12)*100/J12</f>
        <v>-87.10614569054216</v>
      </c>
      <c r="M12" s="244">
        <f>(K12-AC12)*100/AC12</f>
        <v>3087.6664739884395</v>
      </c>
      <c r="N12" s="36">
        <v>62283</v>
      </c>
      <c r="O12" s="36">
        <v>138205</v>
      </c>
      <c r="P12" s="36">
        <v>144714</v>
      </c>
      <c r="Q12" s="186">
        <v>296281</v>
      </c>
      <c r="R12" s="186">
        <v>214777</v>
      </c>
      <c r="S12" s="186">
        <v>131083</v>
      </c>
      <c r="T12" s="186">
        <v>79788</v>
      </c>
      <c r="U12" s="186">
        <v>76552</v>
      </c>
      <c r="V12" s="186">
        <v>50022</v>
      </c>
      <c r="W12" s="186">
        <v>38928</v>
      </c>
      <c r="X12" s="36">
        <v>39690</v>
      </c>
      <c r="Y12" s="36">
        <v>34327</v>
      </c>
      <c r="Z12" s="36">
        <v>36306</v>
      </c>
      <c r="AA12" s="80">
        <v>14526</v>
      </c>
      <c r="AB12" s="30">
        <v>4798</v>
      </c>
      <c r="AC12" s="30">
        <v>3460</v>
      </c>
      <c r="AD12" s="36"/>
      <c r="AE12" s="158">
        <v>52423.56</v>
      </c>
      <c r="AF12" s="92">
        <v>0</v>
      </c>
      <c r="AG12" s="30">
        <f>SUM(AE12:AF12)</f>
        <v>52423.56</v>
      </c>
      <c r="AI12" s="30">
        <v>13997</v>
      </c>
      <c r="AJ12" s="30">
        <v>0</v>
      </c>
      <c r="AK12" s="30">
        <f>SUM(AI12:AJ12)</f>
        <v>13997</v>
      </c>
      <c r="AM12" s="30">
        <v>87525.45</v>
      </c>
      <c r="AN12" s="30">
        <v>0</v>
      </c>
      <c r="AO12" s="30">
        <f>SUM(AM12:AN12)</f>
        <v>87525.45</v>
      </c>
      <c r="AQ12" s="158">
        <v>86009.87</v>
      </c>
      <c r="AR12" s="30">
        <v>0</v>
      </c>
      <c r="AS12" s="30">
        <f>SUM(AQ12:AR12)</f>
        <v>86009.87</v>
      </c>
      <c r="AU12" s="158">
        <v>301951.23</v>
      </c>
      <c r="AV12" s="30">
        <v>0</v>
      </c>
      <c r="AW12" s="30">
        <f>SUM(AU12:AV12)</f>
        <v>301951.23</v>
      </c>
      <c r="AY12" s="158">
        <v>855394.03</v>
      </c>
      <c r="AZ12" s="30">
        <v>0</v>
      </c>
      <c r="BA12" s="30">
        <f>SUM(AY12:AZ12)</f>
        <v>855394.03</v>
      </c>
      <c r="BC12" s="30">
        <v>110293.26</v>
      </c>
      <c r="BD12" s="30">
        <v>0</v>
      </c>
      <c r="BE12" s="30">
        <f>SUM(BC12:BD12)</f>
        <v>110293.26</v>
      </c>
    </row>
    <row r="13" spans="1:57" s="30" customFormat="1" ht="12.75">
      <c r="A13" s="1" t="s">
        <v>7</v>
      </c>
      <c r="B13" s="1">
        <v>1099866</v>
      </c>
      <c r="C13" s="1">
        <v>937850</v>
      </c>
      <c r="D13" s="1">
        <v>1389130</v>
      </c>
      <c r="E13" s="1">
        <v>1084351</v>
      </c>
      <c r="F13" s="1">
        <v>928302</v>
      </c>
      <c r="G13" s="1">
        <v>942065.9</v>
      </c>
      <c r="H13" s="1">
        <v>1557708.08</v>
      </c>
      <c r="I13" s="1">
        <v>1359567.51</v>
      </c>
      <c r="J13" s="1">
        <v>781635.1</v>
      </c>
      <c r="K13" s="1">
        <v>799179.08</v>
      </c>
      <c r="L13" s="244">
        <f>(K13-J13)*100/J13</f>
        <v>2.244523051741149</v>
      </c>
      <c r="M13" s="244">
        <f>(K13-AC13)*100/AC13</f>
        <v>-29.258721401124706</v>
      </c>
      <c r="N13" s="36">
        <v>466218</v>
      </c>
      <c r="O13" s="36">
        <v>490719</v>
      </c>
      <c r="P13" s="36">
        <v>530971</v>
      </c>
      <c r="Q13" s="186">
        <v>613527</v>
      </c>
      <c r="R13" s="186">
        <v>644514</v>
      </c>
      <c r="S13" s="186">
        <v>637725</v>
      </c>
      <c r="T13" s="186">
        <v>416195</v>
      </c>
      <c r="U13" s="186">
        <v>442113</v>
      </c>
      <c r="V13" s="186">
        <v>387552</v>
      </c>
      <c r="W13" s="186">
        <v>437794</v>
      </c>
      <c r="X13" s="36">
        <v>438135</v>
      </c>
      <c r="Y13" s="36">
        <v>566181</v>
      </c>
      <c r="Z13" s="36">
        <v>501752</v>
      </c>
      <c r="AA13" s="80">
        <v>674883</v>
      </c>
      <c r="AB13" s="30">
        <v>487202</v>
      </c>
      <c r="AC13" s="30">
        <v>1129721</v>
      </c>
      <c r="AD13" s="36"/>
      <c r="AE13" s="158">
        <v>1084350.5</v>
      </c>
      <c r="AF13" s="92">
        <v>0</v>
      </c>
      <c r="AG13" s="30">
        <f>SUM(AE13:AF13)</f>
        <v>1084350.5</v>
      </c>
      <c r="AI13" s="30">
        <v>928301.56</v>
      </c>
      <c r="AJ13" s="30">
        <v>0</v>
      </c>
      <c r="AK13" s="30">
        <f>SUM(AI13:AJ13)</f>
        <v>928301.56</v>
      </c>
      <c r="AM13" s="30">
        <v>942065.9</v>
      </c>
      <c r="AN13" s="30">
        <v>0</v>
      </c>
      <c r="AO13" s="30">
        <f>SUM(AM13:AN13)</f>
        <v>942065.9</v>
      </c>
      <c r="AQ13" s="158">
        <v>1557708.08</v>
      </c>
      <c r="AR13" s="30">
        <v>0</v>
      </c>
      <c r="AS13" s="30">
        <f>SUM(AQ13:AR13)</f>
        <v>1557708.08</v>
      </c>
      <c r="AU13" s="158">
        <v>841992.45</v>
      </c>
      <c r="AV13" s="30">
        <v>517575.06</v>
      </c>
      <c r="AW13" s="30">
        <f>SUM(AU13:AV13)</f>
        <v>1359567.51</v>
      </c>
      <c r="AY13" s="158">
        <v>781635.1</v>
      </c>
      <c r="AZ13" s="30">
        <v>0</v>
      </c>
      <c r="BA13" s="30">
        <f>SUM(AY13:AZ13)</f>
        <v>781635.1</v>
      </c>
      <c r="BC13" s="30">
        <v>799179.08</v>
      </c>
      <c r="BD13" s="30">
        <v>0</v>
      </c>
      <c r="BE13" s="30">
        <f>SUM(BC13:BD13)</f>
        <v>799179.08</v>
      </c>
    </row>
    <row r="14" spans="1:57" s="30" customFormat="1" ht="12.75">
      <c r="A14" s="1" t="s">
        <v>8</v>
      </c>
      <c r="B14" s="1">
        <v>327806</v>
      </c>
      <c r="C14" s="1">
        <v>156197</v>
      </c>
      <c r="D14" s="1">
        <v>92344</v>
      </c>
      <c r="E14" s="1">
        <v>455495</v>
      </c>
      <c r="F14" s="120">
        <v>0</v>
      </c>
      <c r="G14" s="1">
        <v>2693</v>
      </c>
      <c r="H14" s="1">
        <v>18245.01</v>
      </c>
      <c r="I14" s="1">
        <v>273032.84</v>
      </c>
      <c r="J14" s="1">
        <v>63613.62</v>
      </c>
      <c r="K14" s="1">
        <v>27259.020000000004</v>
      </c>
      <c r="L14" s="244">
        <f>(K14-J14)*100/J14</f>
        <v>-57.1490822248443</v>
      </c>
      <c r="M14" s="244">
        <f>(K14-AC14)*100/AC14</f>
        <v>-99.21805289893071</v>
      </c>
      <c r="N14" s="36">
        <v>321099</v>
      </c>
      <c r="O14" s="36">
        <v>359959</v>
      </c>
      <c r="P14" s="36">
        <v>270981</v>
      </c>
      <c r="Q14" s="186">
        <v>293488</v>
      </c>
      <c r="R14" s="186">
        <v>183413</v>
      </c>
      <c r="S14" s="186">
        <v>311511</v>
      </c>
      <c r="T14" s="186">
        <v>449506</v>
      </c>
      <c r="U14" s="186">
        <v>278445</v>
      </c>
      <c r="V14" s="186">
        <v>507837</v>
      </c>
      <c r="W14" s="186">
        <v>114560</v>
      </c>
      <c r="X14" s="36">
        <v>444093</v>
      </c>
      <c r="Y14" s="36">
        <v>122719</v>
      </c>
      <c r="Z14" s="36">
        <v>377402</v>
      </c>
      <c r="AA14" s="80">
        <v>449107</v>
      </c>
      <c r="AB14" s="30">
        <v>903955</v>
      </c>
      <c r="AC14" s="30">
        <v>3486044</v>
      </c>
      <c r="AD14" s="36"/>
      <c r="AE14" s="158">
        <v>380390</v>
      </c>
      <c r="AF14" s="92">
        <v>75104.68</v>
      </c>
      <c r="AG14" s="30">
        <f>SUM(AE14:AF14)</f>
        <v>455494.68</v>
      </c>
      <c r="AI14" s="30">
        <v>0</v>
      </c>
      <c r="AJ14" s="30">
        <v>0</v>
      </c>
      <c r="AK14" s="30">
        <f>SUM(AI14:AJ14)</f>
        <v>0</v>
      </c>
      <c r="AM14" s="30">
        <v>0</v>
      </c>
      <c r="AN14" s="30">
        <v>2693</v>
      </c>
      <c r="AO14" s="30">
        <f>SUM(AM14:AN14)</f>
        <v>2693</v>
      </c>
      <c r="AQ14" s="158">
        <v>18245.01</v>
      </c>
      <c r="AR14" s="30">
        <v>0</v>
      </c>
      <c r="AS14" s="30">
        <f>SUM(AQ14:AR14)</f>
        <v>18245.01</v>
      </c>
      <c r="AU14" s="158">
        <v>273032.84</v>
      </c>
      <c r="AV14" s="30">
        <v>0</v>
      </c>
      <c r="AW14" s="30">
        <f>SUM(AU14:AV14)</f>
        <v>273032.84</v>
      </c>
      <c r="AY14" s="158">
        <v>63613.62</v>
      </c>
      <c r="AZ14" s="30">
        <v>0</v>
      </c>
      <c r="BA14" s="30">
        <f>SUM(AY14:AZ14)</f>
        <v>63613.62</v>
      </c>
      <c r="BC14" s="30">
        <v>13005.170000000002</v>
      </c>
      <c r="BD14" s="30">
        <v>14253.85</v>
      </c>
      <c r="BE14" s="30">
        <f>SUM(BC14:BD14)</f>
        <v>27259.020000000004</v>
      </c>
    </row>
    <row r="15" spans="1:57" s="30" customFormat="1" ht="12.75">
      <c r="A15" s="1" t="s">
        <v>9</v>
      </c>
      <c r="B15" s="1">
        <v>11678704</v>
      </c>
      <c r="C15" s="1">
        <v>2210777</v>
      </c>
      <c r="D15" s="1">
        <v>2187597</v>
      </c>
      <c r="E15" s="1">
        <v>2229953</v>
      </c>
      <c r="F15" s="1">
        <v>2179497</v>
      </c>
      <c r="G15" s="1">
        <v>3825573.31</v>
      </c>
      <c r="H15" s="1">
        <v>1554740.55</v>
      </c>
      <c r="I15" s="1">
        <v>2048451.8</v>
      </c>
      <c r="J15" s="1">
        <v>1875881</v>
      </c>
      <c r="K15" s="1">
        <v>2196807</v>
      </c>
      <c r="L15" s="244">
        <f>(K15-J15)*100/J15</f>
        <v>17.10801484742369</v>
      </c>
      <c r="M15" s="244">
        <f>(K15-AC15)*100/AC15</f>
        <v>78.14481193812958</v>
      </c>
      <c r="N15" s="36">
        <v>205317</v>
      </c>
      <c r="O15" s="36">
        <v>492756</v>
      </c>
      <c r="P15" s="36">
        <v>556216</v>
      </c>
      <c r="Q15" s="186">
        <v>949437</v>
      </c>
      <c r="R15" s="186">
        <v>626812</v>
      </c>
      <c r="S15" s="186">
        <v>596915</v>
      </c>
      <c r="T15" s="186">
        <v>513842</v>
      </c>
      <c r="U15" s="186">
        <v>292973</v>
      </c>
      <c r="V15" s="186">
        <v>494486</v>
      </c>
      <c r="W15" s="186">
        <v>144266</v>
      </c>
      <c r="X15" s="36">
        <v>117513</v>
      </c>
      <c r="Y15" s="36">
        <v>102214</v>
      </c>
      <c r="Z15" s="36">
        <v>193539</v>
      </c>
      <c r="AA15" s="80">
        <v>396253</v>
      </c>
      <c r="AB15" s="30">
        <v>1314080</v>
      </c>
      <c r="AC15" s="30">
        <v>1233158</v>
      </c>
      <c r="AD15" s="36"/>
      <c r="AE15" s="158">
        <v>2226436.63</v>
      </c>
      <c r="AF15" s="92">
        <v>3516.84</v>
      </c>
      <c r="AG15" s="30">
        <f>SUM(AE15:AF15)</f>
        <v>2229953.4699999997</v>
      </c>
      <c r="AI15" s="30">
        <v>2179222.6</v>
      </c>
      <c r="AJ15" s="30">
        <v>274.4</v>
      </c>
      <c r="AK15" s="30">
        <f>SUM(AI15:AJ15)</f>
        <v>2179497</v>
      </c>
      <c r="AM15" s="30">
        <v>3825573.31</v>
      </c>
      <c r="AN15" s="30">
        <v>0</v>
      </c>
      <c r="AO15" s="30">
        <f>SUM(AM15:AN15)</f>
        <v>3825573.31</v>
      </c>
      <c r="AQ15" s="158">
        <v>1552441.55</v>
      </c>
      <c r="AR15" s="30">
        <v>2299</v>
      </c>
      <c r="AS15" s="30">
        <f>SUM(AQ15:AR15)</f>
        <v>1554740.55</v>
      </c>
      <c r="AU15" s="158">
        <v>2044176.8</v>
      </c>
      <c r="AV15" s="30">
        <v>4275</v>
      </c>
      <c r="AW15" s="30">
        <f>SUM(AU15:AV15)</f>
        <v>2048451.8</v>
      </c>
      <c r="AY15" s="158">
        <v>1869810</v>
      </c>
      <c r="AZ15" s="30">
        <v>6071</v>
      </c>
      <c r="BA15" s="30">
        <f>SUM(AY15:AZ15)</f>
        <v>1875881</v>
      </c>
      <c r="BC15" s="30">
        <v>2188834</v>
      </c>
      <c r="BD15" s="30">
        <v>7973</v>
      </c>
      <c r="BE15" s="30">
        <f>SUM(BC15:BD15)</f>
        <v>2196807</v>
      </c>
    </row>
    <row r="16" spans="1:57" s="30" customFormat="1" ht="12.75">
      <c r="A16" s="1" t="s">
        <v>10</v>
      </c>
      <c r="B16" s="1">
        <v>311758</v>
      </c>
      <c r="C16" s="1">
        <v>266847</v>
      </c>
      <c r="D16" s="1">
        <v>220102</v>
      </c>
      <c r="E16" s="1">
        <v>319352</v>
      </c>
      <c r="F16" s="1">
        <v>242165</v>
      </c>
      <c r="G16" s="1">
        <v>238596.86</v>
      </c>
      <c r="H16" s="1">
        <v>202388.08</v>
      </c>
      <c r="I16" s="1">
        <v>198257.99</v>
      </c>
      <c r="J16" s="1">
        <v>236491.31</v>
      </c>
      <c r="K16" s="1">
        <v>6248.75</v>
      </c>
      <c r="L16" s="244">
        <f>(K16-J16)*100/J16</f>
        <v>-97.35772532191564</v>
      </c>
      <c r="M16" s="244">
        <f>(K16-AC16)*100/AC16</f>
        <v>-98.13913424141894</v>
      </c>
      <c r="N16" s="36">
        <v>100013</v>
      </c>
      <c r="O16" s="36">
        <v>110123</v>
      </c>
      <c r="P16" s="36">
        <v>125605</v>
      </c>
      <c r="Q16" s="186">
        <v>138653</v>
      </c>
      <c r="R16" s="186">
        <v>134985</v>
      </c>
      <c r="S16" s="186">
        <v>135287</v>
      </c>
      <c r="T16" s="186">
        <v>180945</v>
      </c>
      <c r="U16" s="186">
        <v>175586</v>
      </c>
      <c r="V16" s="186">
        <v>247062</v>
      </c>
      <c r="W16" s="186">
        <v>222524</v>
      </c>
      <c r="X16" s="36">
        <v>183137</v>
      </c>
      <c r="Y16" s="36">
        <v>264751</v>
      </c>
      <c r="Z16" s="36">
        <v>407637</v>
      </c>
      <c r="AA16" s="80">
        <v>358252</v>
      </c>
      <c r="AB16" s="30">
        <v>248851</v>
      </c>
      <c r="AC16" s="30">
        <v>335798</v>
      </c>
      <c r="AD16" s="36"/>
      <c r="AE16" s="158">
        <v>319351.58</v>
      </c>
      <c r="AF16" s="92">
        <v>0</v>
      </c>
      <c r="AG16" s="30">
        <f>SUM(AE16:AF16)</f>
        <v>319351.58</v>
      </c>
      <c r="AI16" s="30">
        <v>242164.51</v>
      </c>
      <c r="AJ16" s="30">
        <v>0</v>
      </c>
      <c r="AK16" s="30">
        <f>SUM(AI16:AJ16)</f>
        <v>242164.51</v>
      </c>
      <c r="AM16" s="30">
        <v>238596.86</v>
      </c>
      <c r="AN16" s="30">
        <v>0</v>
      </c>
      <c r="AO16" s="30">
        <f>SUM(AM16:AN16)</f>
        <v>238596.86</v>
      </c>
      <c r="AQ16" s="158">
        <v>202388.08</v>
      </c>
      <c r="AR16" s="30">
        <v>0</v>
      </c>
      <c r="AS16" s="30">
        <f>SUM(AQ16:AR16)</f>
        <v>202388.08</v>
      </c>
      <c r="AU16" s="158">
        <v>190068.22</v>
      </c>
      <c r="AV16" s="30">
        <v>8189.77</v>
      </c>
      <c r="AW16" s="30">
        <f>SUM(AU16:AV16)</f>
        <v>198257.99</v>
      </c>
      <c r="AY16" s="158">
        <v>232240.59</v>
      </c>
      <c r="AZ16" s="30">
        <v>4250.72</v>
      </c>
      <c r="BA16" s="30">
        <f>SUM(AY16:AZ16)</f>
        <v>236491.31</v>
      </c>
      <c r="BC16" s="30">
        <v>9.51</v>
      </c>
      <c r="BD16" s="30">
        <v>6239.24</v>
      </c>
      <c r="BE16" s="30">
        <f>SUM(BC16:BD16)</f>
        <v>6248.75</v>
      </c>
    </row>
    <row r="17" spans="1:51" s="30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44"/>
      <c r="M17" s="244"/>
      <c r="N17" s="36"/>
      <c r="P17" s="36"/>
      <c r="Q17" s="186"/>
      <c r="R17" s="186"/>
      <c r="S17" s="186"/>
      <c r="T17" s="186"/>
      <c r="U17" s="186"/>
      <c r="V17" s="186"/>
      <c r="W17" s="186"/>
      <c r="X17" s="36"/>
      <c r="Y17" s="36"/>
      <c r="Z17" s="36"/>
      <c r="AA17" s="80"/>
      <c r="AD17" s="36"/>
      <c r="AE17" s="92"/>
      <c r="AF17" s="92"/>
      <c r="AQ17" s="92"/>
      <c r="AU17" s="92"/>
      <c r="AY17" s="92"/>
    </row>
    <row r="18" spans="1:57" s="30" customFormat="1" ht="12.75">
      <c r="A18" s="1" t="s">
        <v>11</v>
      </c>
      <c r="B18" s="1">
        <v>117915</v>
      </c>
      <c r="C18" s="1">
        <v>92311</v>
      </c>
      <c r="D18" s="1">
        <v>98740</v>
      </c>
      <c r="E18" s="1">
        <v>95101</v>
      </c>
      <c r="F18" s="1">
        <v>91838</v>
      </c>
      <c r="G18" s="1">
        <v>82106.77</v>
      </c>
      <c r="H18" s="1">
        <v>91003.28</v>
      </c>
      <c r="I18" s="1">
        <v>98549.25</v>
      </c>
      <c r="J18" s="1">
        <v>138294.08000000002</v>
      </c>
      <c r="K18" s="1">
        <v>38747.84</v>
      </c>
      <c r="L18" s="244">
        <f>(K18-J18)*100/J18</f>
        <v>-71.9815627682689</v>
      </c>
      <c r="M18" s="244">
        <f>(K18-AC18)*100/AC18</f>
        <v>-58.80212220769141</v>
      </c>
      <c r="N18" s="36">
        <v>49743</v>
      </c>
      <c r="O18" s="36">
        <v>33828</v>
      </c>
      <c r="P18" s="36">
        <v>45606</v>
      </c>
      <c r="Q18" s="186">
        <v>30924</v>
      </c>
      <c r="R18" s="186">
        <v>38144</v>
      </c>
      <c r="S18" s="186">
        <v>36846</v>
      </c>
      <c r="T18" s="186">
        <v>38007</v>
      </c>
      <c r="U18" s="186">
        <v>36557</v>
      </c>
      <c r="V18" s="186">
        <v>44705</v>
      </c>
      <c r="W18" s="186">
        <v>41492</v>
      </c>
      <c r="X18" s="36">
        <v>45934</v>
      </c>
      <c r="Y18" s="36">
        <v>42352</v>
      </c>
      <c r="Z18" s="36">
        <v>40608</v>
      </c>
      <c r="AA18" s="80">
        <v>48298</v>
      </c>
      <c r="AB18" s="30">
        <v>88567</v>
      </c>
      <c r="AC18" s="30">
        <v>94053</v>
      </c>
      <c r="AD18" s="36"/>
      <c r="AE18" s="158">
        <v>95101.45</v>
      </c>
      <c r="AF18" s="92">
        <v>0</v>
      </c>
      <c r="AG18" s="30">
        <f>SUM(AE18:AF18)</f>
        <v>95101.45</v>
      </c>
      <c r="AI18" s="30">
        <v>91837.71</v>
      </c>
      <c r="AJ18" s="30">
        <v>0</v>
      </c>
      <c r="AK18" s="30">
        <f>SUM(AI18:AJ18)</f>
        <v>91837.71</v>
      </c>
      <c r="AM18" s="30">
        <v>82106.77</v>
      </c>
      <c r="AN18" s="30">
        <v>0</v>
      </c>
      <c r="AO18" s="30">
        <f>SUM(AM18:AN18)</f>
        <v>82106.77</v>
      </c>
      <c r="AQ18" s="158">
        <v>91003.28</v>
      </c>
      <c r="AR18" s="30">
        <v>0</v>
      </c>
      <c r="AS18" s="30">
        <f>SUM(AQ18:AR18)</f>
        <v>91003.28</v>
      </c>
      <c r="AU18" s="158">
        <v>98549.25</v>
      </c>
      <c r="AV18" s="30">
        <v>0</v>
      </c>
      <c r="AW18" s="30">
        <f>SUM(AU18:AV18)</f>
        <v>98549.25</v>
      </c>
      <c r="AY18" s="158">
        <v>103436.77</v>
      </c>
      <c r="AZ18" s="30">
        <v>34857.31</v>
      </c>
      <c r="BA18" s="30">
        <f>SUM(AY18:AZ18)</f>
        <v>138294.08000000002</v>
      </c>
      <c r="BC18" s="30">
        <v>38747.84</v>
      </c>
      <c r="BD18" s="30">
        <v>0</v>
      </c>
      <c r="BE18" s="30">
        <f>SUM(BC18:BD18)</f>
        <v>38747.84</v>
      </c>
    </row>
    <row r="19" spans="1:57" s="30" customFormat="1" ht="12.75">
      <c r="A19" s="1" t="s">
        <v>12</v>
      </c>
      <c r="B19" s="1">
        <v>700576</v>
      </c>
      <c r="C19" s="1">
        <v>627924</v>
      </c>
      <c r="D19" s="1">
        <v>729886</v>
      </c>
      <c r="E19" s="1">
        <v>489866</v>
      </c>
      <c r="F19" s="1">
        <v>454327</v>
      </c>
      <c r="G19" s="1">
        <v>1414838.41</v>
      </c>
      <c r="H19" s="1">
        <v>430538.95</v>
      </c>
      <c r="I19" s="1">
        <v>500718.66</v>
      </c>
      <c r="J19" s="1">
        <v>1220737.28</v>
      </c>
      <c r="K19" s="1">
        <v>516187.91</v>
      </c>
      <c r="L19" s="244">
        <f>(K19-J19)*100/J19</f>
        <v>-57.71506953568258</v>
      </c>
      <c r="M19" s="244">
        <f>(K19-AC19)*100/AC19</f>
        <v>15.529970904207692</v>
      </c>
      <c r="N19" s="36">
        <v>252454</v>
      </c>
      <c r="O19" s="36">
        <v>216336</v>
      </c>
      <c r="P19" s="36">
        <v>281435</v>
      </c>
      <c r="Q19" s="186">
        <v>268155</v>
      </c>
      <c r="R19" s="186">
        <v>222236</v>
      </c>
      <c r="S19" s="186">
        <v>353915</v>
      </c>
      <c r="T19" s="186">
        <v>367118</v>
      </c>
      <c r="U19" s="186">
        <v>283938</v>
      </c>
      <c r="V19" s="186">
        <f>379142+8438</f>
        <v>387580</v>
      </c>
      <c r="W19" s="186">
        <f>229618+1364</f>
        <v>230982</v>
      </c>
      <c r="X19" s="36">
        <f>271288+3945</f>
        <v>275233</v>
      </c>
      <c r="Y19" s="36">
        <f>378493+6758</f>
        <v>385251</v>
      </c>
      <c r="Z19" s="36">
        <v>514645</v>
      </c>
      <c r="AA19" s="80">
        <v>248098</v>
      </c>
      <c r="AB19" s="30">
        <v>276470</v>
      </c>
      <c r="AC19" s="30">
        <v>446800</v>
      </c>
      <c r="AD19" s="36"/>
      <c r="AE19" s="158">
        <v>489704.22</v>
      </c>
      <c r="AF19" s="156">
        <v>162.06</v>
      </c>
      <c r="AG19" s="30">
        <f>SUM(AE19:AF19)</f>
        <v>489866.27999999997</v>
      </c>
      <c r="AI19" s="30">
        <v>454220.75</v>
      </c>
      <c r="AJ19" s="30">
        <v>106.41</v>
      </c>
      <c r="AK19" s="30">
        <f>SUM(AI19:AJ19)</f>
        <v>454327.16</v>
      </c>
      <c r="AM19" s="30">
        <v>1413753.99</v>
      </c>
      <c r="AN19" s="30">
        <v>1084.42</v>
      </c>
      <c r="AO19" s="30">
        <f>SUM(AM19:AN19)</f>
        <v>1414838.41</v>
      </c>
      <c r="AQ19" s="158">
        <v>430156.21</v>
      </c>
      <c r="AR19" s="30">
        <v>382.74</v>
      </c>
      <c r="AS19" s="30">
        <f>SUM(AQ19:AR19)</f>
        <v>430538.95</v>
      </c>
      <c r="AU19" s="158">
        <v>499319.13</v>
      </c>
      <c r="AV19" s="30">
        <v>1399.53</v>
      </c>
      <c r="AW19" s="30">
        <f>SUM(AU19:AV19)</f>
        <v>500718.66000000003</v>
      </c>
      <c r="AY19" s="158">
        <v>1219755.28</v>
      </c>
      <c r="AZ19" s="30">
        <v>982</v>
      </c>
      <c r="BA19" s="30">
        <f>SUM(AY19:AZ19)</f>
        <v>1220737.28</v>
      </c>
      <c r="BC19" s="30">
        <v>514909.1</v>
      </c>
      <c r="BD19" s="30">
        <v>1278.81</v>
      </c>
      <c r="BE19" s="30">
        <f>SUM(BC19:BD19)</f>
        <v>516187.91</v>
      </c>
    </row>
    <row r="20" spans="1:57" s="30" customFormat="1" ht="12.75">
      <c r="A20" s="1" t="s">
        <v>13</v>
      </c>
      <c r="B20" s="1">
        <v>243460</v>
      </c>
      <c r="C20" s="1">
        <v>271655</v>
      </c>
      <c r="D20" s="1">
        <v>298111</v>
      </c>
      <c r="E20" s="1">
        <v>210334</v>
      </c>
      <c r="F20" s="1">
        <v>157267</v>
      </c>
      <c r="G20" s="1">
        <v>161204.88</v>
      </c>
      <c r="H20" s="1">
        <v>203493.99</v>
      </c>
      <c r="I20" s="1">
        <v>210110.1</v>
      </c>
      <c r="J20" s="1">
        <v>181122.47</v>
      </c>
      <c r="K20" s="1">
        <v>186826.92</v>
      </c>
      <c r="L20" s="244">
        <f>(K20-J20)*100/J20</f>
        <v>3.1494987894102877</v>
      </c>
      <c r="M20" s="244">
        <f>(K20-AC20)*100/AC20</f>
        <v>-22.46494409814158</v>
      </c>
      <c r="N20" s="36">
        <v>122868</v>
      </c>
      <c r="O20" s="36">
        <v>135731</v>
      </c>
      <c r="P20" s="36">
        <v>75317</v>
      </c>
      <c r="Q20" s="186">
        <v>231428</v>
      </c>
      <c r="R20" s="186">
        <v>258452</v>
      </c>
      <c r="S20" s="186">
        <v>207019</v>
      </c>
      <c r="T20" s="186">
        <v>214098</v>
      </c>
      <c r="U20" s="186">
        <v>268308</v>
      </c>
      <c r="V20" s="186">
        <v>194357</v>
      </c>
      <c r="W20" s="186">
        <v>148946</v>
      </c>
      <c r="X20" s="36">
        <v>151813</v>
      </c>
      <c r="Y20" s="36">
        <v>168840</v>
      </c>
      <c r="Z20" s="36">
        <v>164238</v>
      </c>
      <c r="AA20" s="80">
        <v>191272</v>
      </c>
      <c r="AB20" s="30">
        <v>294160</v>
      </c>
      <c r="AC20" s="30">
        <v>240958</v>
      </c>
      <c r="AD20" s="36"/>
      <c r="AE20" s="158">
        <v>210334.08</v>
      </c>
      <c r="AF20" s="92">
        <v>0</v>
      </c>
      <c r="AG20" s="30">
        <f>SUM(AE20:AF20)</f>
        <v>210334.08</v>
      </c>
      <c r="AI20" s="30">
        <v>157267.49</v>
      </c>
      <c r="AJ20" s="30">
        <v>0</v>
      </c>
      <c r="AK20" s="30">
        <f>SUM(AI20:AJ20)</f>
        <v>157267.49</v>
      </c>
      <c r="AM20" s="30">
        <v>161204.88</v>
      </c>
      <c r="AN20" s="30">
        <v>0</v>
      </c>
      <c r="AO20" s="30">
        <f>SUM(AM20:AN20)</f>
        <v>161204.88</v>
      </c>
      <c r="AQ20" s="158">
        <v>203493.99</v>
      </c>
      <c r="AR20" s="30">
        <v>0</v>
      </c>
      <c r="AS20" s="30">
        <f>SUM(AQ20:AR20)</f>
        <v>203493.99</v>
      </c>
      <c r="AU20" s="158">
        <v>210110.1</v>
      </c>
      <c r="AV20" s="30">
        <v>0</v>
      </c>
      <c r="AW20" s="30">
        <f>SUM(AU20:AV20)</f>
        <v>210110.1</v>
      </c>
      <c r="AY20" s="158">
        <v>181122.47</v>
      </c>
      <c r="AZ20" s="30">
        <v>0</v>
      </c>
      <c r="BA20" s="30">
        <f>SUM(AY20:AZ20)</f>
        <v>181122.47</v>
      </c>
      <c r="BC20" s="30">
        <v>186826.92</v>
      </c>
      <c r="BD20" s="30">
        <v>0</v>
      </c>
      <c r="BE20" s="30">
        <f>SUM(BC20:BD20)</f>
        <v>186826.92</v>
      </c>
    </row>
    <row r="21" spans="1:57" s="30" customFormat="1" ht="12.75">
      <c r="A21" s="1" t="s">
        <v>14</v>
      </c>
      <c r="B21" s="1">
        <v>302142</v>
      </c>
      <c r="C21" s="1">
        <v>394192</v>
      </c>
      <c r="D21" s="1">
        <v>329812</v>
      </c>
      <c r="E21" s="1">
        <v>317032</v>
      </c>
      <c r="F21" s="1">
        <v>536187</v>
      </c>
      <c r="G21" s="1">
        <v>510369.01</v>
      </c>
      <c r="H21" s="1">
        <v>563212.1</v>
      </c>
      <c r="I21" s="1">
        <v>496414.33</v>
      </c>
      <c r="J21" s="1">
        <v>219797.76</v>
      </c>
      <c r="K21" s="1">
        <v>227195.75</v>
      </c>
      <c r="L21" s="244">
        <f>(K21-J21)*100/J21</f>
        <v>3.3658168308903558</v>
      </c>
      <c r="M21" s="244">
        <f>(K21-AC21)*100/AC21</f>
        <v>-35.45666964957884</v>
      </c>
      <c r="N21" s="36">
        <v>114196</v>
      </c>
      <c r="O21" s="36">
        <v>168500</v>
      </c>
      <c r="P21" s="36">
        <v>318700</v>
      </c>
      <c r="Q21" s="186">
        <v>325242</v>
      </c>
      <c r="R21" s="186">
        <v>323019</v>
      </c>
      <c r="S21" s="186">
        <v>399087</v>
      </c>
      <c r="T21" s="186">
        <v>337207</v>
      </c>
      <c r="U21" s="186">
        <v>165289</v>
      </c>
      <c r="V21" s="186">
        <v>427002</v>
      </c>
      <c r="W21" s="186">
        <f>281619+61101</f>
        <v>342720</v>
      </c>
      <c r="X21" s="36">
        <v>318345</v>
      </c>
      <c r="Y21" s="36">
        <v>221947</v>
      </c>
      <c r="Z21" s="36">
        <v>704823</v>
      </c>
      <c r="AA21" s="80">
        <v>148332</v>
      </c>
      <c r="AB21" s="30">
        <v>262237</v>
      </c>
      <c r="AC21" s="30">
        <v>352005</v>
      </c>
      <c r="AD21" s="36"/>
      <c r="AE21" s="158">
        <v>317032.45</v>
      </c>
      <c r="AF21" s="92">
        <v>0</v>
      </c>
      <c r="AG21" s="30">
        <f>SUM(AE21:AF21)</f>
        <v>317032.45</v>
      </c>
      <c r="AI21" s="30">
        <v>536186.78</v>
      </c>
      <c r="AJ21" s="30">
        <v>0</v>
      </c>
      <c r="AK21" s="30">
        <f>SUM(AI21:AJ21)</f>
        <v>536186.78</v>
      </c>
      <c r="AM21" s="30">
        <v>510369.01</v>
      </c>
      <c r="AN21" s="30">
        <v>0</v>
      </c>
      <c r="AO21" s="30">
        <f>SUM(AM21:AN21)</f>
        <v>510369.01</v>
      </c>
      <c r="AQ21" s="158">
        <v>563212.1</v>
      </c>
      <c r="AR21" s="30">
        <v>0</v>
      </c>
      <c r="AS21" s="30">
        <f>SUM(AQ21:AR21)</f>
        <v>563212.1</v>
      </c>
      <c r="AU21" s="158">
        <v>496414.33</v>
      </c>
      <c r="AV21" s="30">
        <v>0</v>
      </c>
      <c r="AW21" s="30">
        <f>SUM(AU21:AV21)</f>
        <v>496414.33</v>
      </c>
      <c r="AY21" s="158">
        <v>219797.76</v>
      </c>
      <c r="AZ21" s="30">
        <v>0</v>
      </c>
      <c r="BA21" s="30">
        <f>SUM(AY21:AZ21)</f>
        <v>219797.76</v>
      </c>
      <c r="BC21" s="30">
        <v>227195.75</v>
      </c>
      <c r="BD21" s="30">
        <v>0</v>
      </c>
      <c r="BE21" s="30">
        <f>SUM(BC21:BD21)</f>
        <v>227195.75</v>
      </c>
    </row>
    <row r="22" spans="1:57" s="30" customFormat="1" ht="12.75">
      <c r="A22" s="1" t="s">
        <v>15</v>
      </c>
      <c r="B22" s="1">
        <v>40251</v>
      </c>
      <c r="C22" s="1">
        <v>27181</v>
      </c>
      <c r="D22" s="1">
        <v>130614</v>
      </c>
      <c r="E22" s="1">
        <v>19945</v>
      </c>
      <c r="F22" s="1">
        <v>24437</v>
      </c>
      <c r="G22" s="1">
        <v>31651.19</v>
      </c>
      <c r="H22" s="1">
        <v>17394</v>
      </c>
      <c r="I22" s="1">
        <v>18772.26</v>
      </c>
      <c r="J22" s="1">
        <v>12632.29</v>
      </c>
      <c r="K22" s="1">
        <v>5232.56</v>
      </c>
      <c r="L22" s="244">
        <f>(K22-J22)*100/J22</f>
        <v>-58.57789838580336</v>
      </c>
      <c r="M22" s="244">
        <f>(K22-AC22)*100/AC22</f>
        <v>-89.39747122710325</v>
      </c>
      <c r="N22" s="36">
        <v>30520</v>
      </c>
      <c r="O22" s="36">
        <v>47799</v>
      </c>
      <c r="P22" s="36">
        <v>42012</v>
      </c>
      <c r="Q22" s="186">
        <v>38181</v>
      </c>
      <c r="R22" s="186">
        <v>26419</v>
      </c>
      <c r="S22" s="186">
        <v>36256</v>
      </c>
      <c r="T22" s="186">
        <v>29922</v>
      </c>
      <c r="U22" s="186">
        <v>27043</v>
      </c>
      <c r="V22" s="186">
        <v>29770</v>
      </c>
      <c r="W22" s="186">
        <v>42940</v>
      </c>
      <c r="X22" s="36">
        <f>20457+650</f>
        <v>21107</v>
      </c>
      <c r="Y22" s="36">
        <v>25813</v>
      </c>
      <c r="Z22" s="36">
        <v>43893</v>
      </c>
      <c r="AA22" s="80">
        <v>23077</v>
      </c>
      <c r="AB22" s="30">
        <v>45862</v>
      </c>
      <c r="AC22" s="30">
        <v>49352</v>
      </c>
      <c r="AD22" s="36"/>
      <c r="AE22" s="158">
        <v>19802</v>
      </c>
      <c r="AF22" s="158">
        <v>143</v>
      </c>
      <c r="AG22" s="30">
        <f>SUM(AE22:AF22)</f>
        <v>19945</v>
      </c>
      <c r="AI22" s="30">
        <v>24437</v>
      </c>
      <c r="AJ22" s="30">
        <v>0</v>
      </c>
      <c r="AK22" s="30">
        <f>SUM(AI22:AJ22)</f>
        <v>24437</v>
      </c>
      <c r="AM22" s="30">
        <v>31651.19</v>
      </c>
      <c r="AN22" s="30">
        <v>0</v>
      </c>
      <c r="AO22" s="30">
        <f>SUM(AM22:AN22)</f>
        <v>31651.19</v>
      </c>
      <c r="AQ22" s="158">
        <v>17394</v>
      </c>
      <c r="AR22" s="30">
        <v>0</v>
      </c>
      <c r="AS22" s="30">
        <f>SUM(AQ22:AR22)</f>
        <v>17394</v>
      </c>
      <c r="AU22" s="158">
        <v>18772.26</v>
      </c>
      <c r="AV22" s="30">
        <v>0</v>
      </c>
      <c r="AW22" s="30">
        <f>SUM(AU22:AV22)</f>
        <v>18772.26</v>
      </c>
      <c r="AY22" s="158">
        <v>12632.29</v>
      </c>
      <c r="AZ22" s="30">
        <v>0</v>
      </c>
      <c r="BA22" s="30">
        <f>SUM(AY22:AZ22)</f>
        <v>12632.29</v>
      </c>
      <c r="BC22" s="30">
        <v>5232.56</v>
      </c>
      <c r="BD22" s="30">
        <v>0</v>
      </c>
      <c r="BE22" s="30">
        <f>SUM(BC22:BD22)</f>
        <v>5232.56</v>
      </c>
    </row>
    <row r="23" spans="1:51" s="30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44"/>
      <c r="M23" s="244"/>
      <c r="N23" s="36"/>
      <c r="P23" s="36"/>
      <c r="Q23" s="186"/>
      <c r="R23" s="186"/>
      <c r="S23" s="186"/>
      <c r="T23" s="186"/>
      <c r="U23" s="186"/>
      <c r="V23" s="186"/>
      <c r="W23" s="186"/>
      <c r="X23" s="36"/>
      <c r="Y23" s="36"/>
      <c r="Z23" s="36"/>
      <c r="AA23" s="80"/>
      <c r="AD23" s="36"/>
      <c r="AE23" s="92"/>
      <c r="AF23" s="158"/>
      <c r="AQ23" s="226"/>
      <c r="AU23" s="226"/>
      <c r="AY23" s="226"/>
    </row>
    <row r="24" spans="1:57" s="30" customFormat="1" ht="12.75">
      <c r="A24" s="1" t="s">
        <v>16</v>
      </c>
      <c r="B24" s="1">
        <v>712565</v>
      </c>
      <c r="C24" s="1">
        <v>778301</v>
      </c>
      <c r="D24" s="1">
        <v>750717</v>
      </c>
      <c r="E24" s="1">
        <v>749301</v>
      </c>
      <c r="F24" s="1">
        <v>756594</v>
      </c>
      <c r="G24" s="1">
        <v>704042.29</v>
      </c>
      <c r="H24" s="1">
        <v>720007.34</v>
      </c>
      <c r="I24" s="1">
        <v>781852.38</v>
      </c>
      <c r="J24" s="1">
        <v>947072.6900000001</v>
      </c>
      <c r="K24" s="1">
        <v>911275.3400000001</v>
      </c>
      <c r="L24" s="244">
        <f>(K24-J24)*100/J24</f>
        <v>-3.779789067721927</v>
      </c>
      <c r="M24" s="244">
        <f>(K24-AC24)*100/AC24</f>
        <v>115.98450406122532</v>
      </c>
      <c r="N24" s="36">
        <v>312601</v>
      </c>
      <c r="O24" s="36">
        <v>193574</v>
      </c>
      <c r="P24" s="36">
        <v>242936</v>
      </c>
      <c r="Q24" s="186">
        <v>345800</v>
      </c>
      <c r="R24" s="186">
        <v>350019</v>
      </c>
      <c r="S24" s="186">
        <v>359865</v>
      </c>
      <c r="T24" s="186">
        <v>335891</v>
      </c>
      <c r="U24" s="186">
        <v>394574</v>
      </c>
      <c r="V24" s="186">
        <v>484306</v>
      </c>
      <c r="W24" s="186">
        <v>462051</v>
      </c>
      <c r="X24" s="36">
        <v>441347</v>
      </c>
      <c r="Y24" s="36">
        <v>434955</v>
      </c>
      <c r="Z24" s="36">
        <v>388406</v>
      </c>
      <c r="AA24" s="80">
        <v>435263</v>
      </c>
      <c r="AB24" s="30">
        <v>401672</v>
      </c>
      <c r="AC24" s="30">
        <v>421917</v>
      </c>
      <c r="AD24" s="36"/>
      <c r="AE24" s="158">
        <v>747359.49</v>
      </c>
      <c r="AF24" s="158">
        <v>1941.48</v>
      </c>
      <c r="AG24" s="30">
        <f>SUM(AE24:AF24)</f>
        <v>749300.97</v>
      </c>
      <c r="AI24" s="30">
        <v>754146.01</v>
      </c>
      <c r="AJ24" s="30">
        <v>2448.21</v>
      </c>
      <c r="AK24" s="30">
        <f>SUM(AI24:AJ24)</f>
        <v>756594.22</v>
      </c>
      <c r="AM24" s="30">
        <v>703517.29</v>
      </c>
      <c r="AN24" s="30">
        <v>525</v>
      </c>
      <c r="AO24" s="30">
        <f>SUM(AM24:AN24)</f>
        <v>704042.29</v>
      </c>
      <c r="AQ24" s="158">
        <v>713802.93</v>
      </c>
      <c r="AR24" s="30">
        <v>6204.41</v>
      </c>
      <c r="AS24" s="30">
        <f>SUM(AQ24:AR24)</f>
        <v>720007.3400000001</v>
      </c>
      <c r="AU24" s="158">
        <v>775405.97</v>
      </c>
      <c r="AV24" s="30">
        <v>6446.41</v>
      </c>
      <c r="AW24" s="30">
        <f>SUM(AU24:AV24)</f>
        <v>781852.38</v>
      </c>
      <c r="AY24" s="158">
        <v>939344.53</v>
      </c>
      <c r="AZ24" s="30">
        <v>7728.16</v>
      </c>
      <c r="BA24" s="30">
        <f>SUM(AY24:AZ24)</f>
        <v>947072.6900000001</v>
      </c>
      <c r="BC24" s="30">
        <v>903684.68</v>
      </c>
      <c r="BD24" s="30">
        <v>7590.66</v>
      </c>
      <c r="BE24" s="30">
        <f>SUM(BC24:BD24)</f>
        <v>911275.3400000001</v>
      </c>
    </row>
    <row r="25" spans="1:57" s="30" customFormat="1" ht="12.75">
      <c r="A25" s="1" t="s">
        <v>17</v>
      </c>
      <c r="B25" s="1">
        <v>57360</v>
      </c>
      <c r="C25" s="1">
        <v>66130</v>
      </c>
      <c r="D25" s="1">
        <v>57997</v>
      </c>
      <c r="E25" s="1">
        <v>54038</v>
      </c>
      <c r="F25" s="1">
        <v>63474</v>
      </c>
      <c r="G25" s="1">
        <v>52462.31</v>
      </c>
      <c r="H25" s="1">
        <v>63598.51</v>
      </c>
      <c r="I25" s="1">
        <v>54923.78</v>
      </c>
      <c r="J25" s="1">
        <v>57492.15</v>
      </c>
      <c r="K25" s="1">
        <v>42234.08</v>
      </c>
      <c r="L25" s="244">
        <f>(K25-J25)*100/J25</f>
        <v>-26.539397117693458</v>
      </c>
      <c r="M25" s="244">
        <f>(K25-AC25)*100/AC25</f>
        <v>-22.66095332271237</v>
      </c>
      <c r="N25" s="36">
        <v>21237</v>
      </c>
      <c r="O25" s="36">
        <v>36667</v>
      </c>
      <c r="P25" s="36">
        <v>44336</v>
      </c>
      <c r="Q25" s="186">
        <v>40266</v>
      </c>
      <c r="R25" s="186">
        <v>78239</v>
      </c>
      <c r="S25" s="186">
        <v>69133</v>
      </c>
      <c r="T25" s="186">
        <v>32859</v>
      </c>
      <c r="U25" s="186">
        <v>51931</v>
      </c>
      <c r="V25" s="186">
        <v>65391</v>
      </c>
      <c r="W25" s="186">
        <v>44245</v>
      </c>
      <c r="X25" s="36">
        <v>40572</v>
      </c>
      <c r="Y25" s="36">
        <v>42600</v>
      </c>
      <c r="Z25" s="36">
        <v>37971</v>
      </c>
      <c r="AA25" s="80">
        <v>34690</v>
      </c>
      <c r="AB25" s="30">
        <v>47579</v>
      </c>
      <c r="AC25" s="30">
        <v>54609</v>
      </c>
      <c r="AD25" s="36"/>
      <c r="AE25" s="158">
        <v>54037.91</v>
      </c>
      <c r="AF25" s="158">
        <v>0</v>
      </c>
      <c r="AG25" s="30">
        <f>SUM(AE25:AF25)</f>
        <v>54037.91</v>
      </c>
      <c r="AI25" s="30">
        <v>63474.47</v>
      </c>
      <c r="AJ25" s="30">
        <v>0</v>
      </c>
      <c r="AK25" s="30">
        <f>SUM(AI25:AJ25)</f>
        <v>63474.47</v>
      </c>
      <c r="AM25" s="30">
        <v>52462.31</v>
      </c>
      <c r="AN25" s="30">
        <v>0</v>
      </c>
      <c r="AO25" s="30">
        <f>SUM(AM25:AN25)</f>
        <v>52462.31</v>
      </c>
      <c r="AQ25" s="158">
        <v>63598.51</v>
      </c>
      <c r="AR25" s="30">
        <v>0</v>
      </c>
      <c r="AS25" s="30">
        <f>SUM(AQ25:AR25)</f>
        <v>63598.51</v>
      </c>
      <c r="AU25" s="158">
        <v>54923.78</v>
      </c>
      <c r="AV25" s="30">
        <v>0</v>
      </c>
      <c r="AW25" s="30">
        <f>SUM(AU25:AV25)</f>
        <v>54923.78</v>
      </c>
      <c r="AY25" s="158">
        <v>57492.15</v>
      </c>
      <c r="AZ25" s="30">
        <v>0</v>
      </c>
      <c r="BA25" s="30">
        <f>SUM(AY25:AZ25)</f>
        <v>57492.15</v>
      </c>
      <c r="BC25" s="30">
        <v>42234.08</v>
      </c>
      <c r="BD25" s="30">
        <v>0</v>
      </c>
      <c r="BE25" s="30">
        <f>SUM(BC25:BD25)</f>
        <v>42234.08</v>
      </c>
    </row>
    <row r="26" spans="1:57" s="30" customFormat="1" ht="12.75">
      <c r="A26" s="1" t="s">
        <v>18</v>
      </c>
      <c r="B26" s="1">
        <v>802437</v>
      </c>
      <c r="C26" s="1">
        <v>852613</v>
      </c>
      <c r="D26" s="1">
        <v>881475</v>
      </c>
      <c r="E26" s="1">
        <v>768170</v>
      </c>
      <c r="F26" s="1">
        <v>737838</v>
      </c>
      <c r="G26" s="1">
        <v>1043146.86</v>
      </c>
      <c r="H26" s="1">
        <v>1628679.05</v>
      </c>
      <c r="I26" s="1">
        <v>1302262.91</v>
      </c>
      <c r="J26" s="1">
        <v>1014751.2699999999</v>
      </c>
      <c r="K26" s="1">
        <v>1026917.5499999999</v>
      </c>
      <c r="L26" s="244">
        <f>(K26-J26)*100/J26</f>
        <v>1.1989420816393783</v>
      </c>
      <c r="M26" s="244">
        <f>(K26-AC26)*100/AC26</f>
        <v>125.30645893805658</v>
      </c>
      <c r="N26" s="36">
        <v>373709</v>
      </c>
      <c r="O26" s="36">
        <v>378877</v>
      </c>
      <c r="P26" s="36">
        <v>339773</v>
      </c>
      <c r="Q26" s="186">
        <v>381207</v>
      </c>
      <c r="R26" s="186">
        <v>366661</v>
      </c>
      <c r="S26" s="186">
        <v>437517</v>
      </c>
      <c r="T26" s="186">
        <v>336207</v>
      </c>
      <c r="U26" s="186">
        <v>456938</v>
      </c>
      <c r="V26" s="186">
        <f>736663+30729</f>
        <v>767392</v>
      </c>
      <c r="W26" s="186">
        <f>1112470+39453</f>
        <v>1151923</v>
      </c>
      <c r="X26" s="36">
        <f>1069372+25854</f>
        <v>1095226</v>
      </c>
      <c r="Y26" s="36">
        <f>708195+20989</f>
        <v>729184</v>
      </c>
      <c r="Z26" s="36">
        <v>656666</v>
      </c>
      <c r="AA26" s="80">
        <v>674740</v>
      </c>
      <c r="AB26" s="30">
        <v>974172</v>
      </c>
      <c r="AC26" s="30">
        <v>455787</v>
      </c>
      <c r="AD26" s="36"/>
      <c r="AE26" s="158">
        <v>761788.98</v>
      </c>
      <c r="AF26" s="158">
        <v>6380.55</v>
      </c>
      <c r="AG26" s="30">
        <f>SUM(AE26:AF26)</f>
        <v>768169.53</v>
      </c>
      <c r="AI26" s="30">
        <v>725489.2</v>
      </c>
      <c r="AJ26" s="30">
        <v>12348.75</v>
      </c>
      <c r="AK26" s="30">
        <f>SUM(AI26:AJ26)</f>
        <v>737837.95</v>
      </c>
      <c r="AM26" s="30">
        <v>1034999.91</v>
      </c>
      <c r="AN26" s="30">
        <v>8146.95</v>
      </c>
      <c r="AO26" s="30">
        <f>SUM(AM26:AN26)</f>
        <v>1043146.86</v>
      </c>
      <c r="AQ26" s="158">
        <v>1622204.72</v>
      </c>
      <c r="AR26" s="30">
        <v>6474.33</v>
      </c>
      <c r="AS26" s="30">
        <f>SUM(AQ26:AR26)</f>
        <v>1628679.05</v>
      </c>
      <c r="AU26" s="158">
        <v>1293558.78</v>
      </c>
      <c r="AV26" s="30">
        <v>8704.13</v>
      </c>
      <c r="AW26" s="30">
        <f>SUM(AU26:AV26)</f>
        <v>1302262.91</v>
      </c>
      <c r="AY26" s="158">
        <v>1008190.82</v>
      </c>
      <c r="AZ26" s="30">
        <v>6560.45</v>
      </c>
      <c r="BA26" s="30">
        <f>SUM(AY26:AZ26)</f>
        <v>1014751.2699999999</v>
      </c>
      <c r="BC26" s="30">
        <v>1020979.44</v>
      </c>
      <c r="BD26" s="30">
        <v>5938.11</v>
      </c>
      <c r="BE26" s="30">
        <f>SUM(BC26:BD26)</f>
        <v>1026917.5499999999</v>
      </c>
    </row>
    <row r="27" spans="1:57" s="30" customFormat="1" ht="12.75">
      <c r="A27" s="1" t="s">
        <v>19</v>
      </c>
      <c r="B27" s="1">
        <v>1581293</v>
      </c>
      <c r="C27" s="1">
        <v>1242751</v>
      </c>
      <c r="D27" s="1">
        <v>1502960</v>
      </c>
      <c r="E27" s="1">
        <v>1536377</v>
      </c>
      <c r="F27" s="1">
        <v>824266</v>
      </c>
      <c r="G27" s="1">
        <v>1406012.4</v>
      </c>
      <c r="H27" s="1">
        <v>992792</v>
      </c>
      <c r="I27" s="1">
        <v>1067898</v>
      </c>
      <c r="J27" s="1">
        <v>676054</v>
      </c>
      <c r="K27" s="1">
        <v>765813</v>
      </c>
      <c r="L27" s="244">
        <f>(K27-J27)*100/J27</f>
        <v>13.276897999272247</v>
      </c>
      <c r="M27" s="244">
        <f>(K27-AC27)*100/AC27</f>
        <v>0.003003434361900782</v>
      </c>
      <c r="N27" s="36">
        <v>345433</v>
      </c>
      <c r="O27" s="36">
        <v>528914</v>
      </c>
      <c r="P27" s="36">
        <v>378864</v>
      </c>
      <c r="Q27" s="186">
        <v>411256</v>
      </c>
      <c r="R27" s="186">
        <v>473594</v>
      </c>
      <c r="S27" s="186">
        <v>613909</v>
      </c>
      <c r="T27" s="186">
        <v>7048</v>
      </c>
      <c r="U27" s="186">
        <v>630199</v>
      </c>
      <c r="V27" s="186">
        <f>1182898+4997</f>
        <v>1187895</v>
      </c>
      <c r="W27" s="186">
        <f>681425+6237</f>
        <v>687662</v>
      </c>
      <c r="X27" s="36">
        <f>1431185+11377</f>
        <v>1442562</v>
      </c>
      <c r="Y27" s="36">
        <f>1499554+5619</f>
        <v>1505173</v>
      </c>
      <c r="Z27" s="36">
        <v>1686294</v>
      </c>
      <c r="AA27" s="80">
        <v>655977</v>
      </c>
      <c r="AB27" s="30">
        <v>757612</v>
      </c>
      <c r="AC27" s="30">
        <v>765790</v>
      </c>
      <c r="AD27" s="36"/>
      <c r="AE27" s="158">
        <v>1534464.66</v>
      </c>
      <c r="AF27" s="158">
        <v>1912.53</v>
      </c>
      <c r="AG27" s="30">
        <f>SUM(AE27:AF27)</f>
        <v>1536377.19</v>
      </c>
      <c r="AI27" s="30">
        <v>822325.32</v>
      </c>
      <c r="AJ27" s="30">
        <v>1940.43</v>
      </c>
      <c r="AK27" s="30">
        <f>SUM(AI27:AJ27)</f>
        <v>824265.75</v>
      </c>
      <c r="AM27" s="30">
        <v>1404604.09</v>
      </c>
      <c r="AN27" s="30">
        <v>1408.31</v>
      </c>
      <c r="AO27" s="30">
        <f>SUM(AM27:AN27)</f>
        <v>1406012.4000000001</v>
      </c>
      <c r="AQ27" s="158">
        <v>991052</v>
      </c>
      <c r="AR27" s="30">
        <v>1740</v>
      </c>
      <c r="AS27" s="30">
        <f>SUM(AQ27:AR27)</f>
        <v>992792</v>
      </c>
      <c r="AU27" s="158">
        <v>1066469</v>
      </c>
      <c r="AV27" s="30">
        <v>1429</v>
      </c>
      <c r="AW27" s="30">
        <f>SUM(AU27:AV27)</f>
        <v>1067898</v>
      </c>
      <c r="AY27" s="158">
        <v>621383</v>
      </c>
      <c r="AZ27" s="30">
        <v>54671</v>
      </c>
      <c r="BA27" s="30">
        <f>SUM(AY27:AZ27)</f>
        <v>676054</v>
      </c>
      <c r="BC27" s="30">
        <v>762711</v>
      </c>
      <c r="BD27" s="30">
        <v>3102</v>
      </c>
      <c r="BE27" s="30">
        <f>SUM(BC27:BD27)</f>
        <v>765813</v>
      </c>
    </row>
    <row r="28" spans="1:57" s="30" customFormat="1" ht="12.75">
      <c r="A28" s="1" t="s">
        <v>20</v>
      </c>
      <c r="B28" s="1">
        <v>11353</v>
      </c>
      <c r="C28" s="1">
        <v>60162</v>
      </c>
      <c r="D28" s="1">
        <v>1500</v>
      </c>
      <c r="E28" s="120">
        <v>0</v>
      </c>
      <c r="F28" s="120">
        <v>0</v>
      </c>
      <c r="G28" s="1">
        <v>9541</v>
      </c>
      <c r="H28" s="1">
        <v>5710</v>
      </c>
      <c r="I28" s="1">
        <v>41193</v>
      </c>
      <c r="J28" s="1">
        <v>35549.87</v>
      </c>
      <c r="K28" s="120">
        <v>0</v>
      </c>
      <c r="L28" s="244">
        <f>(K28-J28)*100/J28</f>
        <v>-100</v>
      </c>
      <c r="M28" s="244">
        <f>(K28-AC28)*100/AC28</f>
        <v>-100</v>
      </c>
      <c r="N28" s="36">
        <v>27070</v>
      </c>
      <c r="O28" s="36">
        <v>28570</v>
      </c>
      <c r="P28" s="186">
        <v>34463</v>
      </c>
      <c r="Q28" s="186">
        <v>29475</v>
      </c>
      <c r="R28" s="186">
        <v>30427</v>
      </c>
      <c r="S28" s="186">
        <v>35716</v>
      </c>
      <c r="T28" s="186">
        <v>29384</v>
      </c>
      <c r="U28" s="186">
        <v>33101</v>
      </c>
      <c r="V28" s="186">
        <v>33854</v>
      </c>
      <c r="W28" s="186">
        <v>34126</v>
      </c>
      <c r="X28" s="36">
        <v>39969</v>
      </c>
      <c r="Y28" s="36">
        <v>32642</v>
      </c>
      <c r="Z28" s="36">
        <v>926</v>
      </c>
      <c r="AA28" s="80">
        <v>9154</v>
      </c>
      <c r="AB28" s="30">
        <v>1058</v>
      </c>
      <c r="AC28" s="30">
        <v>60082</v>
      </c>
      <c r="AD28" s="36"/>
      <c r="AE28" s="158">
        <v>0</v>
      </c>
      <c r="AF28" s="92"/>
      <c r="AG28" s="30">
        <f>SUM(AE28:AF28)</f>
        <v>0</v>
      </c>
      <c r="AI28" s="30">
        <v>0</v>
      </c>
      <c r="AK28" s="30">
        <f>SUM(AI28:AJ28)</f>
        <v>0</v>
      </c>
      <c r="AM28" s="30">
        <v>9541</v>
      </c>
      <c r="AO28" s="30">
        <f>SUM(AM28:AN28)</f>
        <v>9541</v>
      </c>
      <c r="AQ28" s="158">
        <v>5710</v>
      </c>
      <c r="AR28" s="30">
        <v>0</v>
      </c>
      <c r="AS28" s="30">
        <f>SUM(AQ28:AR28)</f>
        <v>5710</v>
      </c>
      <c r="AU28" s="158">
        <v>41193</v>
      </c>
      <c r="AV28" s="30">
        <v>0</v>
      </c>
      <c r="AW28" s="30">
        <f>SUM(AU28:AV28)</f>
        <v>41193</v>
      </c>
      <c r="AY28" s="158">
        <v>35549.87</v>
      </c>
      <c r="BA28" s="30">
        <f>SUM(AY28:AZ28)</f>
        <v>35549.87</v>
      </c>
      <c r="BD28" s="30">
        <v>0</v>
      </c>
      <c r="BE28" s="30">
        <f>SUM(BC28:BD28)</f>
        <v>0</v>
      </c>
    </row>
    <row r="29" spans="1:51" s="30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44"/>
      <c r="M29" s="244"/>
      <c r="N29" s="36"/>
      <c r="O29" s="36"/>
      <c r="Q29" s="186"/>
      <c r="R29" s="186"/>
      <c r="S29" s="186"/>
      <c r="T29" s="186"/>
      <c r="U29" s="186"/>
      <c r="V29" s="186"/>
      <c r="W29" s="186"/>
      <c r="X29" s="36"/>
      <c r="Y29" s="36"/>
      <c r="Z29" s="36"/>
      <c r="AA29" s="80"/>
      <c r="AD29" s="36"/>
      <c r="AE29" s="92"/>
      <c r="AF29" s="92"/>
      <c r="AQ29" s="226"/>
      <c r="AU29" s="226"/>
      <c r="AY29" s="226"/>
    </row>
    <row r="30" spans="1:57" s="30" customFormat="1" ht="12.75">
      <c r="A30" s="1" t="s">
        <v>21</v>
      </c>
      <c r="B30" s="1">
        <v>2886871</v>
      </c>
      <c r="C30" s="1">
        <v>3358750</v>
      </c>
      <c r="D30" s="1">
        <v>2672046</v>
      </c>
      <c r="E30" s="1">
        <v>26860</v>
      </c>
      <c r="F30" s="1">
        <v>2624577</v>
      </c>
      <c r="G30" s="1">
        <v>4406482.89</v>
      </c>
      <c r="H30" s="1">
        <v>5044220.63</v>
      </c>
      <c r="I30" s="1">
        <v>3932929.71</v>
      </c>
      <c r="J30" s="1">
        <v>2790871.6700000004</v>
      </c>
      <c r="K30" s="1">
        <v>3023681.34</v>
      </c>
      <c r="L30" s="244">
        <f aca="true" t="shared" si="3" ref="L30:L39">(K30-J30)*100/J30</f>
        <v>8.341826408664625</v>
      </c>
      <c r="M30" s="244">
        <f>(K30-AC30)*100/AC30</f>
        <v>-38.12278764117994</v>
      </c>
      <c r="N30" s="36">
        <v>686482</v>
      </c>
      <c r="O30" s="36">
        <v>1244798</v>
      </c>
      <c r="P30" s="186">
        <v>1429256</v>
      </c>
      <c r="Q30" s="186">
        <v>1608283</v>
      </c>
      <c r="R30" s="186">
        <v>3087089</v>
      </c>
      <c r="S30" s="186">
        <v>2561520</v>
      </c>
      <c r="T30" s="186">
        <v>2727806</v>
      </c>
      <c r="U30" s="186">
        <v>1911204</v>
      </c>
      <c r="V30" s="186">
        <f>2133613+27204</f>
        <v>2160817</v>
      </c>
      <c r="W30" s="186">
        <f>2197702+31115</f>
        <v>2228817</v>
      </c>
      <c r="X30" s="36">
        <f>2113387+33528</f>
        <v>2146915</v>
      </c>
      <c r="Y30" s="36">
        <f>2452468+31693</f>
        <v>2484161</v>
      </c>
      <c r="Z30" s="36">
        <v>2186196</v>
      </c>
      <c r="AA30" s="80">
        <v>2652522</v>
      </c>
      <c r="AB30" s="30">
        <v>4127075</v>
      </c>
      <c r="AC30" s="30">
        <v>4886583</v>
      </c>
      <c r="AD30" s="36"/>
      <c r="AE30" s="158">
        <v>0</v>
      </c>
      <c r="AF30" s="92">
        <v>26859.75</v>
      </c>
      <c r="AG30" s="30">
        <f>SUM(AE30:AF30)</f>
        <v>26859.75</v>
      </c>
      <c r="AI30" s="30">
        <v>2599421.92</v>
      </c>
      <c r="AJ30" s="30">
        <v>25155.13</v>
      </c>
      <c r="AK30" s="30">
        <f>SUM(AI30:AJ30)</f>
        <v>2624577.05</v>
      </c>
      <c r="AM30" s="30">
        <v>4376922.19</v>
      </c>
      <c r="AN30" s="30">
        <v>29560.7</v>
      </c>
      <c r="AO30" s="30">
        <f>SUM(AM30:AN30)</f>
        <v>4406482.890000001</v>
      </c>
      <c r="AQ30" s="158">
        <v>5020054.49</v>
      </c>
      <c r="AR30" s="30">
        <v>24166.14</v>
      </c>
      <c r="AS30" s="30">
        <f>SUM(AQ30:AR30)</f>
        <v>5044220.63</v>
      </c>
      <c r="AU30" s="158">
        <v>3912755.86</v>
      </c>
      <c r="AV30" s="30">
        <v>20173.85</v>
      </c>
      <c r="AW30" s="30">
        <f>SUM(AU30:AV30)</f>
        <v>3932929.71</v>
      </c>
      <c r="AY30" s="158">
        <v>2763911.18</v>
      </c>
      <c r="AZ30" s="30">
        <v>26960.49</v>
      </c>
      <c r="BA30" s="30">
        <f>SUM(AY30:AZ30)</f>
        <v>2790871.6700000004</v>
      </c>
      <c r="BC30" s="30">
        <v>2996797.26</v>
      </c>
      <c r="BD30" s="30">
        <v>26884.08</v>
      </c>
      <c r="BE30" s="30">
        <f>SUM(BC30:BD30)</f>
        <v>3023681.34</v>
      </c>
    </row>
    <row r="31" spans="1:57" s="30" customFormat="1" ht="12.75">
      <c r="A31" s="1" t="s">
        <v>22</v>
      </c>
      <c r="B31" s="1">
        <v>1689013</v>
      </c>
      <c r="C31" s="1">
        <v>1642100</v>
      </c>
      <c r="D31" s="1">
        <v>2805440</v>
      </c>
      <c r="E31" s="1">
        <v>1285158</v>
      </c>
      <c r="F31" s="1">
        <v>2728000</v>
      </c>
      <c r="G31" s="1">
        <v>4287445.5</v>
      </c>
      <c r="H31" s="1">
        <v>5358250.3</v>
      </c>
      <c r="I31" s="1">
        <v>6123567.64</v>
      </c>
      <c r="J31" s="1">
        <v>1155401.25</v>
      </c>
      <c r="K31" s="1">
        <v>1179967.0299999998</v>
      </c>
      <c r="L31" s="244">
        <f t="shared" si="3"/>
        <v>2.126168722770535</v>
      </c>
      <c r="M31" s="244">
        <f>(K31-AC31)*100/AC31</f>
        <v>-54.38988269755048</v>
      </c>
      <c r="N31" s="36">
        <v>234909</v>
      </c>
      <c r="O31" s="36">
        <v>371196</v>
      </c>
      <c r="P31" s="186">
        <v>468302</v>
      </c>
      <c r="Q31" s="186">
        <v>305388</v>
      </c>
      <c r="R31" s="186">
        <v>323055</v>
      </c>
      <c r="S31" s="186">
        <v>399076</v>
      </c>
      <c r="T31" s="186">
        <v>0</v>
      </c>
      <c r="U31" s="186">
        <v>306195</v>
      </c>
      <c r="V31" s="186">
        <v>1153256</v>
      </c>
      <c r="W31" s="186">
        <f>1081911-3</f>
        <v>1081908</v>
      </c>
      <c r="X31" s="36">
        <f>1087871+67</f>
        <v>1087938</v>
      </c>
      <c r="Y31" s="36">
        <f>1572536+113</f>
        <v>1572649</v>
      </c>
      <c r="Z31" s="36">
        <v>630375</v>
      </c>
      <c r="AA31" s="80">
        <v>640664</v>
      </c>
      <c r="AB31" s="30">
        <v>1052345</v>
      </c>
      <c r="AC31" s="30">
        <v>2587073</v>
      </c>
      <c r="AD31" s="36"/>
      <c r="AE31" s="158">
        <v>1285157.75</v>
      </c>
      <c r="AF31" s="92">
        <v>0</v>
      </c>
      <c r="AG31" s="30">
        <f>SUM(AE31:AF31)</f>
        <v>1285157.75</v>
      </c>
      <c r="AI31" s="30">
        <v>2728000.19</v>
      </c>
      <c r="AJ31" s="30">
        <v>0</v>
      </c>
      <c r="AK31" s="30">
        <f>SUM(AI31:AJ31)</f>
        <v>2728000.19</v>
      </c>
      <c r="AM31" s="30">
        <v>4287445.5</v>
      </c>
      <c r="AN31" s="30">
        <v>0</v>
      </c>
      <c r="AO31" s="30">
        <f>SUM(AM31:AN31)</f>
        <v>4287445.5</v>
      </c>
      <c r="AQ31" s="158">
        <v>5358250.3</v>
      </c>
      <c r="AR31" s="30">
        <v>0</v>
      </c>
      <c r="AS31" s="30">
        <f>SUM(AQ31:AR31)</f>
        <v>5358250.3</v>
      </c>
      <c r="AU31" s="158">
        <v>6123567.64</v>
      </c>
      <c r="AV31" s="30">
        <v>0</v>
      </c>
      <c r="AW31" s="30">
        <f>SUM(AU31:AV31)</f>
        <v>6123567.64</v>
      </c>
      <c r="AY31" s="158">
        <v>1155401.25</v>
      </c>
      <c r="AZ31" s="30">
        <v>0</v>
      </c>
      <c r="BA31" s="30">
        <f>SUM(AY31:AZ31)</f>
        <v>1155401.25</v>
      </c>
      <c r="BC31" s="30">
        <v>1179967.0299999998</v>
      </c>
      <c r="BD31" s="30">
        <v>0</v>
      </c>
      <c r="BE31" s="30">
        <f>SUM(BC31:BD31)</f>
        <v>1179967.0299999998</v>
      </c>
    </row>
    <row r="32" spans="1:57" s="30" customFormat="1" ht="12.75">
      <c r="A32" s="1" t="s">
        <v>23</v>
      </c>
      <c r="B32" s="1">
        <v>207919</v>
      </c>
      <c r="C32" s="1">
        <v>173510</v>
      </c>
      <c r="D32" s="1">
        <v>246770</v>
      </c>
      <c r="E32" s="1">
        <v>135410</v>
      </c>
      <c r="F32" s="1">
        <v>111970</v>
      </c>
      <c r="G32" s="1">
        <v>98461.66</v>
      </c>
      <c r="H32" s="1">
        <v>96307.91</v>
      </c>
      <c r="I32" s="1">
        <v>142679.72</v>
      </c>
      <c r="J32" s="1">
        <v>139026.99</v>
      </c>
      <c r="K32" s="120">
        <v>0</v>
      </c>
      <c r="L32" s="244">
        <f t="shared" si="3"/>
        <v>-100</v>
      </c>
      <c r="M32" s="244">
        <f>(K32-AC32)*100/AC32</f>
        <v>-100</v>
      </c>
      <c r="N32" s="36">
        <v>66526</v>
      </c>
      <c r="O32" s="36">
        <v>1</v>
      </c>
      <c r="P32" s="186">
        <v>93968</v>
      </c>
      <c r="Q32" s="186">
        <v>108102</v>
      </c>
      <c r="R32" s="186">
        <v>81982</v>
      </c>
      <c r="S32" s="186">
        <v>160056</v>
      </c>
      <c r="T32" s="186">
        <v>134115</v>
      </c>
      <c r="U32" s="186">
        <v>189152</v>
      </c>
      <c r="V32" s="186">
        <v>185749</v>
      </c>
      <c r="W32" s="186">
        <v>168377</v>
      </c>
      <c r="X32" s="36">
        <v>212752</v>
      </c>
      <c r="Y32" s="36">
        <v>182387</v>
      </c>
      <c r="Z32" s="36">
        <v>177704</v>
      </c>
      <c r="AA32" s="80">
        <v>152291</v>
      </c>
      <c r="AB32" s="30">
        <v>155156</v>
      </c>
      <c r="AC32" s="30">
        <v>187841</v>
      </c>
      <c r="AD32" s="36"/>
      <c r="AE32" s="158">
        <v>135409.88</v>
      </c>
      <c r="AF32" s="92">
        <v>0</v>
      </c>
      <c r="AG32" s="30">
        <f>SUM(AE32:AF32)</f>
        <v>135409.88</v>
      </c>
      <c r="AI32" s="30">
        <v>111970.26</v>
      </c>
      <c r="AJ32" s="30">
        <v>0</v>
      </c>
      <c r="AK32" s="30">
        <f>SUM(AI32:AJ32)</f>
        <v>111970.26</v>
      </c>
      <c r="AM32" s="30">
        <v>98461.66</v>
      </c>
      <c r="AN32" s="30">
        <v>0</v>
      </c>
      <c r="AO32" s="30">
        <f>SUM(AM32:AN32)</f>
        <v>98461.66</v>
      </c>
      <c r="AQ32" s="158">
        <v>96307.91</v>
      </c>
      <c r="AR32" s="30">
        <v>0</v>
      </c>
      <c r="AS32" s="30">
        <f>SUM(AQ32:AR32)</f>
        <v>96307.91</v>
      </c>
      <c r="AU32" s="158">
        <v>142679.72</v>
      </c>
      <c r="AV32" s="30">
        <v>0</v>
      </c>
      <c r="AW32" s="30">
        <f>SUM(AU32:AV32)</f>
        <v>142679.72</v>
      </c>
      <c r="AY32" s="158">
        <v>139026.99</v>
      </c>
      <c r="AZ32" s="30">
        <v>0</v>
      </c>
      <c r="BA32" s="30">
        <f>SUM(AY32:AZ32)</f>
        <v>139026.99</v>
      </c>
      <c r="BD32" s="30">
        <v>0</v>
      </c>
      <c r="BE32" s="30">
        <f>SUM(BC32:BD32)</f>
        <v>0</v>
      </c>
    </row>
    <row r="33" spans="1:57" s="30" customFormat="1" ht="12.75">
      <c r="A33" s="1" t="s">
        <v>24</v>
      </c>
      <c r="B33" s="1">
        <v>287904</v>
      </c>
      <c r="C33" s="1">
        <v>382804</v>
      </c>
      <c r="D33" s="1">
        <v>125442</v>
      </c>
      <c r="E33" s="1">
        <v>222486</v>
      </c>
      <c r="F33" s="1">
        <v>407030</v>
      </c>
      <c r="G33" s="1">
        <v>282843.64</v>
      </c>
      <c r="H33" s="1">
        <v>287931.85</v>
      </c>
      <c r="I33" s="1">
        <v>310106.9</v>
      </c>
      <c r="J33" s="1">
        <v>298249.85</v>
      </c>
      <c r="K33" s="1">
        <v>471841.12</v>
      </c>
      <c r="L33" s="244">
        <f t="shared" si="3"/>
        <v>58.20330504776449</v>
      </c>
      <c r="M33" s="244">
        <f>(K33-AC33)*100/AC33</f>
        <v>69.39006939433429</v>
      </c>
      <c r="N33" s="36">
        <v>190394</v>
      </c>
      <c r="O33" s="36">
        <v>225049</v>
      </c>
      <c r="P33" s="186">
        <v>188419</v>
      </c>
      <c r="Q33" s="186">
        <v>197708</v>
      </c>
      <c r="R33" s="186">
        <v>173163</v>
      </c>
      <c r="S33" s="186">
        <v>316928</v>
      </c>
      <c r="T33" s="186">
        <v>204470</v>
      </c>
      <c r="U33" s="186">
        <v>160980</v>
      </c>
      <c r="V33" s="186">
        <f>298272+1461</f>
        <v>299733</v>
      </c>
      <c r="W33" s="186">
        <f>166253+1704</f>
        <v>167957</v>
      </c>
      <c r="X33" s="36">
        <f>305412+1670</f>
        <v>307082</v>
      </c>
      <c r="Y33" s="36">
        <f>65974+1296</f>
        <v>67270</v>
      </c>
      <c r="Z33" s="36">
        <v>124381</v>
      </c>
      <c r="AA33" s="80">
        <v>308582</v>
      </c>
      <c r="AB33" s="30">
        <v>229198</v>
      </c>
      <c r="AC33" s="30">
        <v>278553</v>
      </c>
      <c r="AD33" s="36"/>
      <c r="AE33" s="158">
        <v>222486.18</v>
      </c>
      <c r="AF33" s="92">
        <v>0</v>
      </c>
      <c r="AG33" s="30">
        <f>SUM(AE33:AF33)</f>
        <v>222486.18</v>
      </c>
      <c r="AI33" s="30">
        <v>407030.24</v>
      </c>
      <c r="AJ33" s="30">
        <v>0</v>
      </c>
      <c r="AK33" s="30">
        <f>SUM(AI33:AJ33)</f>
        <v>407030.24</v>
      </c>
      <c r="AM33" s="30">
        <v>282843.64</v>
      </c>
      <c r="AN33" s="30">
        <v>0</v>
      </c>
      <c r="AO33" s="30">
        <f>SUM(AM33:AN33)</f>
        <v>282843.64</v>
      </c>
      <c r="AQ33" s="158">
        <v>287931.85</v>
      </c>
      <c r="AR33" s="30">
        <v>0</v>
      </c>
      <c r="AS33" s="30">
        <f>SUM(AQ33:AR33)</f>
        <v>287931.85</v>
      </c>
      <c r="AU33" s="158">
        <v>310106.9</v>
      </c>
      <c r="AV33" s="30">
        <v>0</v>
      </c>
      <c r="AW33" s="30">
        <f>SUM(AU33:AV33)</f>
        <v>310106.9</v>
      </c>
      <c r="AY33" s="158">
        <v>298249.85</v>
      </c>
      <c r="AZ33" s="30">
        <v>0</v>
      </c>
      <c r="BA33" s="30">
        <f>SUM(AY33:AZ33)</f>
        <v>298249.85</v>
      </c>
      <c r="BC33" s="30">
        <v>471841.12</v>
      </c>
      <c r="BD33" s="30">
        <v>0</v>
      </c>
      <c r="BE33" s="30">
        <f>SUM(BC33:BD33)</f>
        <v>471841.12</v>
      </c>
    </row>
    <row r="34" spans="1:57" s="30" customFormat="1" ht="12.75">
      <c r="A34" s="1" t="s">
        <v>25</v>
      </c>
      <c r="B34" s="1">
        <v>41152</v>
      </c>
      <c r="C34" s="1">
        <v>28744</v>
      </c>
      <c r="D34" s="1">
        <v>32538</v>
      </c>
      <c r="E34" s="1">
        <v>43651</v>
      </c>
      <c r="F34" s="1">
        <v>45547</v>
      </c>
      <c r="G34" s="1">
        <v>42700.35</v>
      </c>
      <c r="H34" s="120">
        <v>0</v>
      </c>
      <c r="I34" s="120">
        <v>0</v>
      </c>
      <c r="J34" s="120">
        <v>0</v>
      </c>
      <c r="K34" s="1">
        <v>50196.52</v>
      </c>
      <c r="L34" s="306" t="s">
        <v>118</v>
      </c>
      <c r="M34" s="244">
        <f>(K34-AC34)*100/AC34</f>
        <v>48.76569260861833</v>
      </c>
      <c r="N34" s="36">
        <v>17226</v>
      </c>
      <c r="O34" s="36">
        <v>18143</v>
      </c>
      <c r="P34" s="186">
        <v>17439</v>
      </c>
      <c r="Q34" s="186">
        <v>19340</v>
      </c>
      <c r="R34" s="186">
        <v>12505</v>
      </c>
      <c r="S34" s="186">
        <v>12129</v>
      </c>
      <c r="T34" s="186">
        <v>12592</v>
      </c>
      <c r="U34" s="186">
        <v>8618</v>
      </c>
      <c r="V34" s="186">
        <f>18922+758</f>
        <v>19680</v>
      </c>
      <c r="W34" s="186">
        <f>14513+378</f>
        <v>14891</v>
      </c>
      <c r="X34" s="36">
        <v>15592</v>
      </c>
      <c r="Y34" s="36">
        <v>10981</v>
      </c>
      <c r="Z34" s="36">
        <v>27626</v>
      </c>
      <c r="AA34" s="80">
        <v>20506</v>
      </c>
      <c r="AB34" s="30">
        <v>78225</v>
      </c>
      <c r="AC34" s="30">
        <v>33742</v>
      </c>
      <c r="AD34" s="36"/>
      <c r="AE34" s="158">
        <v>43650.96</v>
      </c>
      <c r="AF34" s="92">
        <v>0</v>
      </c>
      <c r="AG34" s="30">
        <f>SUM(AE34:AF34)</f>
        <v>43650.96</v>
      </c>
      <c r="AI34" s="30">
        <v>45546.81</v>
      </c>
      <c r="AJ34" s="30">
        <v>0</v>
      </c>
      <c r="AK34" s="30">
        <f>SUM(AI34:AJ34)</f>
        <v>45546.81</v>
      </c>
      <c r="AM34" s="30">
        <v>42700.35</v>
      </c>
      <c r="AN34" s="30">
        <v>0</v>
      </c>
      <c r="AO34" s="30">
        <f>SUM(AM34:AN34)</f>
        <v>42700.35</v>
      </c>
      <c r="AQ34" s="158">
        <v>0</v>
      </c>
      <c r="AR34" s="30">
        <v>0</v>
      </c>
      <c r="AS34" s="30">
        <f>SUM(AQ34:AR34)</f>
        <v>0</v>
      </c>
      <c r="AU34" s="158">
        <v>0</v>
      </c>
      <c r="AV34" s="30">
        <v>0</v>
      </c>
      <c r="AW34" s="30">
        <f>SUM(AU34:AV34)</f>
        <v>0</v>
      </c>
      <c r="AY34" s="158">
        <v>0</v>
      </c>
      <c r="AZ34" s="30">
        <v>0</v>
      </c>
      <c r="BA34" s="30">
        <f>SUM(AY34:AZ34)</f>
        <v>0</v>
      </c>
      <c r="BC34" s="30">
        <v>50196.52</v>
      </c>
      <c r="BD34" s="30">
        <v>0</v>
      </c>
      <c r="BE34" s="30">
        <f>SUM(BC34:BD34)</f>
        <v>50196.52</v>
      </c>
    </row>
    <row r="35" spans="1:51" s="30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4"/>
      <c r="M35" s="244"/>
      <c r="O35" s="36"/>
      <c r="P35" s="186"/>
      <c r="Q35" s="186"/>
      <c r="R35" s="186"/>
      <c r="S35" s="186"/>
      <c r="T35" s="186"/>
      <c r="U35" s="186"/>
      <c r="V35" s="186"/>
      <c r="W35" s="186"/>
      <c r="X35" s="36"/>
      <c r="Y35" s="36"/>
      <c r="Z35" s="36"/>
      <c r="AA35" s="80"/>
      <c r="AD35" s="36"/>
      <c r="AE35" s="92"/>
      <c r="AF35" s="92"/>
      <c r="AQ35" s="253"/>
      <c r="AU35" s="253"/>
      <c r="AY35" s="253"/>
    </row>
    <row r="36" spans="1:57" s="30" customFormat="1" ht="12.75">
      <c r="A36" s="1" t="s">
        <v>26</v>
      </c>
      <c r="B36" s="1">
        <v>77368</v>
      </c>
      <c r="C36" s="1">
        <v>79442</v>
      </c>
      <c r="D36" s="1">
        <v>51054</v>
      </c>
      <c r="E36" s="1">
        <v>40078</v>
      </c>
      <c r="F36" s="1">
        <v>40905</v>
      </c>
      <c r="G36" s="1">
        <v>34115.19</v>
      </c>
      <c r="H36" s="1">
        <v>100180.17</v>
      </c>
      <c r="I36" s="1">
        <v>107262.26</v>
      </c>
      <c r="J36" s="1">
        <v>108597.03</v>
      </c>
      <c r="K36" s="1">
        <v>281228.68</v>
      </c>
      <c r="L36" s="244">
        <f t="shared" si="3"/>
        <v>158.96535107820168</v>
      </c>
      <c r="M36" s="244">
        <f>(K36-AC36)*100/AC36</f>
        <v>635.3921866011192</v>
      </c>
      <c r="N36" s="36">
        <v>60663</v>
      </c>
      <c r="O36" s="36">
        <v>62051</v>
      </c>
      <c r="P36" s="186">
        <v>52640</v>
      </c>
      <c r="Q36" s="186">
        <v>99868</v>
      </c>
      <c r="R36" s="186">
        <v>43448</v>
      </c>
      <c r="S36" s="186">
        <v>45408</v>
      </c>
      <c r="T36" s="186">
        <v>54945</v>
      </c>
      <c r="U36" s="186">
        <v>4957</v>
      </c>
      <c r="V36" s="186">
        <v>20950</v>
      </c>
      <c r="W36" s="186">
        <v>38430</v>
      </c>
      <c r="X36" s="36">
        <v>52103</v>
      </c>
      <c r="Y36" s="36">
        <v>34035</v>
      </c>
      <c r="Z36" s="36">
        <v>37797</v>
      </c>
      <c r="AA36" s="80">
        <v>43183</v>
      </c>
      <c r="AB36" s="30">
        <v>92725</v>
      </c>
      <c r="AC36" s="30">
        <v>38242</v>
      </c>
      <c r="AD36" s="36"/>
      <c r="AE36" s="158">
        <v>36063.17</v>
      </c>
      <c r="AF36" s="92">
        <v>4015</v>
      </c>
      <c r="AG36" s="30">
        <f>SUM(AE36:AF36)</f>
        <v>40078.17</v>
      </c>
      <c r="AI36" s="30">
        <v>40905.01</v>
      </c>
      <c r="AJ36" s="30">
        <v>0</v>
      </c>
      <c r="AK36" s="30">
        <f>SUM(AI36:AJ36)</f>
        <v>40905.01</v>
      </c>
      <c r="AM36" s="30">
        <v>34115.19</v>
      </c>
      <c r="AN36" s="30">
        <v>0</v>
      </c>
      <c r="AO36" s="30">
        <f>SUM(AM36:AN36)</f>
        <v>34115.19</v>
      </c>
      <c r="AQ36" s="92">
        <v>100180.17</v>
      </c>
      <c r="AR36" s="30">
        <v>0</v>
      </c>
      <c r="AS36" s="30">
        <f>SUM(AQ36:AR36)</f>
        <v>100180.17</v>
      </c>
      <c r="AU36" s="92">
        <v>107262.26</v>
      </c>
      <c r="AV36" s="30">
        <v>0</v>
      </c>
      <c r="AW36" s="30">
        <f>SUM(AU36:AV36)</f>
        <v>107262.26</v>
      </c>
      <c r="AY36" s="92">
        <v>108597.03</v>
      </c>
      <c r="AZ36" s="30">
        <v>0</v>
      </c>
      <c r="BA36" s="30">
        <f>SUM(AY36:AZ36)</f>
        <v>108597.03</v>
      </c>
      <c r="BC36" s="30">
        <v>281228.68</v>
      </c>
      <c r="BD36" s="30">
        <v>0</v>
      </c>
      <c r="BE36" s="30">
        <f>SUM(BC36:BD36)</f>
        <v>281228.68</v>
      </c>
    </row>
    <row r="37" spans="1:57" s="30" customFormat="1" ht="12.75">
      <c r="A37" s="1" t="s">
        <v>27</v>
      </c>
      <c r="B37" s="1">
        <v>371637</v>
      </c>
      <c r="C37" s="1">
        <v>347364</v>
      </c>
      <c r="D37" s="1">
        <v>347986</v>
      </c>
      <c r="E37" s="1">
        <v>410297</v>
      </c>
      <c r="F37" s="1">
        <v>418305</v>
      </c>
      <c r="G37" s="1">
        <v>406809.66</v>
      </c>
      <c r="H37" s="1">
        <v>417577</v>
      </c>
      <c r="I37" s="1">
        <v>898</v>
      </c>
      <c r="J37" s="1">
        <v>8879.58</v>
      </c>
      <c r="K37" s="1">
        <v>7967.65</v>
      </c>
      <c r="L37" s="244">
        <f t="shared" si="3"/>
        <v>-10.269967723698647</v>
      </c>
      <c r="M37" s="244">
        <f>(K37-AC37)*100/AC37</f>
        <v>-98.04771402458597</v>
      </c>
      <c r="N37" s="36">
        <v>154546</v>
      </c>
      <c r="O37" s="36">
        <v>150943</v>
      </c>
      <c r="P37" s="186">
        <v>199366</v>
      </c>
      <c r="Q37" s="186">
        <v>207246</v>
      </c>
      <c r="R37" s="186">
        <v>223549</v>
      </c>
      <c r="S37" s="186">
        <v>267279</v>
      </c>
      <c r="T37" s="186">
        <v>245866</v>
      </c>
      <c r="U37" s="186">
        <v>173419</v>
      </c>
      <c r="V37" s="186">
        <v>201023</v>
      </c>
      <c r="W37" s="186">
        <v>240233</v>
      </c>
      <c r="X37" s="36">
        <f>294216+884</f>
        <v>295100</v>
      </c>
      <c r="Y37" s="36">
        <f>249785+815</f>
        <v>250600</v>
      </c>
      <c r="Z37" s="36">
        <v>250241</v>
      </c>
      <c r="AA37" s="80">
        <v>279258</v>
      </c>
      <c r="AB37" s="30">
        <v>349303</v>
      </c>
      <c r="AC37" s="30">
        <v>408119</v>
      </c>
      <c r="AD37" s="36"/>
      <c r="AE37" s="158">
        <v>409329</v>
      </c>
      <c r="AF37" s="158">
        <v>968</v>
      </c>
      <c r="AG37" s="30">
        <f>SUM(AE37:AF37)</f>
        <v>410297</v>
      </c>
      <c r="AI37" s="30">
        <v>417913</v>
      </c>
      <c r="AJ37" s="30">
        <v>392</v>
      </c>
      <c r="AK37" s="30">
        <f>SUM(AI37:AJ37)</f>
        <v>418305</v>
      </c>
      <c r="AM37" s="30">
        <v>405909.61</v>
      </c>
      <c r="AN37" s="30">
        <v>900.05</v>
      </c>
      <c r="AO37" s="30">
        <f>SUM(AM37:AN37)</f>
        <v>406809.66</v>
      </c>
      <c r="AQ37" s="158">
        <v>416682</v>
      </c>
      <c r="AR37" s="30">
        <v>895</v>
      </c>
      <c r="AS37" s="30">
        <f>SUM(AQ37:AR37)</f>
        <v>417577</v>
      </c>
      <c r="AU37" s="158">
        <v>0</v>
      </c>
      <c r="AV37" s="30">
        <v>898</v>
      </c>
      <c r="AW37" s="30">
        <f>SUM(AU37:AV37)</f>
        <v>898</v>
      </c>
      <c r="AY37" s="158">
        <v>7988.86</v>
      </c>
      <c r="AZ37" s="30">
        <v>890.72</v>
      </c>
      <c r="BA37" s="30">
        <f>SUM(AY37:AZ37)</f>
        <v>8879.58</v>
      </c>
      <c r="BC37" s="30">
        <v>7128.46</v>
      </c>
      <c r="BD37" s="30">
        <v>839.19</v>
      </c>
      <c r="BE37" s="30">
        <f>SUM(BC37:BD37)</f>
        <v>7967.65</v>
      </c>
    </row>
    <row r="38" spans="1:57" s="30" customFormat="1" ht="12.75">
      <c r="A38" s="1" t="s">
        <v>28</v>
      </c>
      <c r="B38" s="1">
        <v>229167</v>
      </c>
      <c r="C38" s="1">
        <v>235172</v>
      </c>
      <c r="D38" s="1">
        <v>229765</v>
      </c>
      <c r="E38" s="1">
        <v>227842</v>
      </c>
      <c r="F38" s="1">
        <v>235605</v>
      </c>
      <c r="G38" s="1">
        <v>236401.9</v>
      </c>
      <c r="H38" s="1">
        <v>236086.11</v>
      </c>
      <c r="I38" s="1">
        <v>263273.23</v>
      </c>
      <c r="J38" s="1">
        <v>255690.93</v>
      </c>
      <c r="K38" s="1">
        <v>250106.01</v>
      </c>
      <c r="L38" s="244">
        <f t="shared" si="3"/>
        <v>-2.1842464259486967</v>
      </c>
      <c r="M38" s="244">
        <f>(K38-AC38)*100/AC38</f>
        <v>2.554581016582201</v>
      </c>
      <c r="N38" s="36">
        <v>142447</v>
      </c>
      <c r="O38" s="36">
        <v>141851</v>
      </c>
      <c r="P38" s="186">
        <v>168467</v>
      </c>
      <c r="Q38" s="186">
        <v>183889</v>
      </c>
      <c r="R38" s="186">
        <v>208756</v>
      </c>
      <c r="S38" s="186">
        <v>222621</v>
      </c>
      <c r="T38" s="186">
        <v>356605</v>
      </c>
      <c r="U38" s="186">
        <v>55760</v>
      </c>
      <c r="V38" s="186">
        <f>207881+1796</f>
        <v>209677</v>
      </c>
      <c r="W38" s="186">
        <f>124302+1631</f>
        <v>125933</v>
      </c>
      <c r="X38" s="36">
        <f>116343+1777</f>
        <v>118120</v>
      </c>
      <c r="Y38" s="36">
        <f>77870+1661</f>
        <v>79531</v>
      </c>
      <c r="Z38" s="36">
        <v>74190</v>
      </c>
      <c r="AA38" s="80">
        <v>126472</v>
      </c>
      <c r="AB38" s="30">
        <v>225399</v>
      </c>
      <c r="AC38" s="30">
        <v>243876</v>
      </c>
      <c r="AD38" s="36"/>
      <c r="AE38" s="158">
        <v>227842.18</v>
      </c>
      <c r="AF38" s="92">
        <v>0</v>
      </c>
      <c r="AG38" s="30">
        <f>SUM(AE38:AF38)</f>
        <v>227842.18</v>
      </c>
      <c r="AI38" s="30">
        <v>235604.94</v>
      </c>
      <c r="AJ38" s="30">
        <v>0</v>
      </c>
      <c r="AK38" s="30">
        <f>SUM(AI38:AJ38)</f>
        <v>235604.94</v>
      </c>
      <c r="AM38" s="30">
        <v>236401.9</v>
      </c>
      <c r="AN38" s="30">
        <v>0</v>
      </c>
      <c r="AO38" s="30">
        <f>SUM(AM38:AN38)</f>
        <v>236401.9</v>
      </c>
      <c r="AQ38" s="158">
        <v>236086.11</v>
      </c>
      <c r="AR38" s="30">
        <v>0</v>
      </c>
      <c r="AS38" s="30">
        <f>SUM(AQ38:AR38)</f>
        <v>236086.11</v>
      </c>
      <c r="AU38" s="158">
        <v>263273.23</v>
      </c>
      <c r="AV38" s="30">
        <v>0</v>
      </c>
      <c r="AW38" s="30">
        <f>SUM(AU38:AV38)</f>
        <v>263273.23</v>
      </c>
      <c r="AY38" s="158">
        <v>255690.93</v>
      </c>
      <c r="AZ38" s="30">
        <v>0</v>
      </c>
      <c r="BA38" s="30">
        <f>SUM(AY38:AZ38)</f>
        <v>255690.93</v>
      </c>
      <c r="BC38" s="30">
        <v>250106.01</v>
      </c>
      <c r="BD38" s="30">
        <v>0</v>
      </c>
      <c r="BE38" s="30">
        <f>SUM(BC38:BD38)</f>
        <v>250106.01</v>
      </c>
    </row>
    <row r="39" spans="1:57" s="30" customFormat="1" ht="12.75">
      <c r="A39" s="17" t="s">
        <v>29</v>
      </c>
      <c r="B39" s="1">
        <v>154431</v>
      </c>
      <c r="C39" s="1">
        <v>158736</v>
      </c>
      <c r="D39" s="1">
        <v>189243</v>
      </c>
      <c r="E39" s="1">
        <v>157938</v>
      </c>
      <c r="F39" s="1">
        <v>107458</v>
      </c>
      <c r="G39" s="1">
        <v>121798</v>
      </c>
      <c r="H39" s="1">
        <v>188304.85</v>
      </c>
      <c r="I39" s="1">
        <v>88357.82</v>
      </c>
      <c r="J39" s="1">
        <v>71465.02</v>
      </c>
      <c r="K39" s="1">
        <v>39489.83</v>
      </c>
      <c r="L39" s="244">
        <f t="shared" si="3"/>
        <v>-44.74243483035477</v>
      </c>
      <c r="M39" s="244">
        <f>(K39-AC39)*100/AC39</f>
        <v>-75.97445335409999</v>
      </c>
      <c r="N39" s="36">
        <v>55679</v>
      </c>
      <c r="O39" s="36">
        <v>53338</v>
      </c>
      <c r="P39" s="186">
        <v>63925</v>
      </c>
      <c r="Q39" s="186">
        <v>100095</v>
      </c>
      <c r="R39" s="186">
        <v>101693</v>
      </c>
      <c r="S39" s="186">
        <v>96204</v>
      </c>
      <c r="T39" s="186">
        <v>103865</v>
      </c>
      <c r="U39" s="186">
        <v>96171</v>
      </c>
      <c r="V39" s="186">
        <f>125083+279</f>
        <v>125362</v>
      </c>
      <c r="W39" s="186">
        <f>116387+886</f>
        <v>117273</v>
      </c>
      <c r="X39" s="36">
        <f>120573+1020</f>
        <v>121593</v>
      </c>
      <c r="Y39" s="36">
        <f>97650+2622</f>
        <v>100272</v>
      </c>
      <c r="Z39" s="36">
        <v>105277</v>
      </c>
      <c r="AA39" s="80">
        <v>105858</v>
      </c>
      <c r="AB39" s="30">
        <v>161280</v>
      </c>
      <c r="AC39" s="30">
        <v>164366</v>
      </c>
      <c r="AD39" s="36"/>
      <c r="AE39" s="161">
        <v>157742.36</v>
      </c>
      <c r="AF39" s="107">
        <v>196.12</v>
      </c>
      <c r="AG39" s="30">
        <f>SUM(AE39:AF39)</f>
        <v>157938.47999999998</v>
      </c>
      <c r="AI39" s="30">
        <v>107457.9</v>
      </c>
      <c r="AJ39" s="30">
        <v>0</v>
      </c>
      <c r="AK39" s="30">
        <f>SUM(AI39:AJ39)</f>
        <v>107457.9</v>
      </c>
      <c r="AM39" s="30">
        <v>121798</v>
      </c>
      <c r="AN39" s="30">
        <v>0</v>
      </c>
      <c r="AO39" s="30">
        <f>SUM(AM39:AN39)</f>
        <v>121798</v>
      </c>
      <c r="AQ39" s="161">
        <v>188304.85</v>
      </c>
      <c r="AR39" s="30">
        <v>0</v>
      </c>
      <c r="AS39" s="30">
        <f>SUM(AQ39:AR39)</f>
        <v>188304.85</v>
      </c>
      <c r="AU39" s="161">
        <v>88357.82</v>
      </c>
      <c r="AV39" s="30">
        <v>0</v>
      </c>
      <c r="AW39" s="30">
        <f>SUM(AU39:AV39)</f>
        <v>88357.82</v>
      </c>
      <c r="AY39" s="161">
        <v>71465.02</v>
      </c>
      <c r="AZ39" s="30">
        <v>0</v>
      </c>
      <c r="BA39" s="30">
        <f>SUM(AY39:AZ39)</f>
        <v>71465.02</v>
      </c>
      <c r="BC39" s="30">
        <v>39489.83</v>
      </c>
      <c r="BD39" s="30">
        <v>0</v>
      </c>
      <c r="BE39" s="30">
        <f>SUM(BC39:BD39)</f>
        <v>39489.83</v>
      </c>
    </row>
    <row r="40" spans="1:32" s="30" customFormat="1" ht="12.75">
      <c r="A40" s="1" t="s">
        <v>299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37"/>
      <c r="O40" s="37"/>
      <c r="P40" s="37"/>
      <c r="Q40" s="37"/>
      <c r="V40" s="37"/>
      <c r="W40" s="33"/>
      <c r="X40" s="33"/>
      <c r="Y40" s="37"/>
      <c r="AF40" s="92"/>
    </row>
    <row r="41" spans="1:32" s="30" customFormat="1" ht="12.75">
      <c r="A41" s="307" t="s">
        <v>233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AF41" s="92"/>
    </row>
    <row r="42" spans="1:17" s="30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36"/>
      <c r="P42" s="36"/>
      <c r="Q42" s="36"/>
    </row>
    <row r="43" spans="15:17" ht="12.75">
      <c r="O43" s="14"/>
      <c r="P43" s="14"/>
      <c r="Q43" s="14"/>
    </row>
    <row r="44" spans="15:17" ht="12.75">
      <c r="O44" s="14"/>
      <c r="P44" s="14"/>
      <c r="Q44" s="14"/>
    </row>
    <row r="45" spans="15:17" ht="12.75">
      <c r="O45" s="14"/>
      <c r="P45" s="14"/>
      <c r="Q45" s="14"/>
    </row>
    <row r="46" spans="15:17" ht="12.75">
      <c r="O46" s="14"/>
      <c r="P46" s="14"/>
      <c r="Q46" s="14"/>
    </row>
  </sheetData>
  <sheetProtection password="CAF5" sheet="1"/>
  <mergeCells count="11">
    <mergeCell ref="L7:M7"/>
    <mergeCell ref="AE5:AG5"/>
    <mergeCell ref="AI5:AK5"/>
    <mergeCell ref="AM5:AO5"/>
    <mergeCell ref="AU5:AW5"/>
    <mergeCell ref="BC5:BE5"/>
    <mergeCell ref="A1:M1"/>
    <mergeCell ref="A3:M3"/>
    <mergeCell ref="A4:M4"/>
    <mergeCell ref="AQ5:AS5"/>
    <mergeCell ref="AY5:BA5"/>
  </mergeCells>
  <printOptions/>
  <pageMargins left="0.49" right="0.47" top="1" bottom="0.9" header="0.5" footer="0.5"/>
  <pageSetup fitToHeight="1" fitToWidth="1" orientation="landscape" scale="81" r:id="rId1"/>
  <headerFooter scaleWithDoc="0" alignWithMargins="0">
    <oddFooter>&amp;L&amp;"Arial,Italic"&amp;10MSDE-LFRO 10 / 2011&amp;C&amp;"Arial,Regular"&amp;10- 14 -&amp;R&amp;"Arial,Italic"&amp;10Selected Financial Data - Part 4</oddFooter>
  </headerFooter>
  <rowBreaks count="1" manualBreakCount="1">
    <brk id="4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5"/>
  <sheetViews>
    <sheetView workbookViewId="0" topLeftCell="A31">
      <selection activeCell="A42" sqref="A42"/>
    </sheetView>
  </sheetViews>
  <sheetFormatPr defaultColWidth="10.00390625" defaultRowHeight="15.75"/>
  <cols>
    <col min="1" max="1" width="17.50390625" style="30" customWidth="1"/>
    <col min="2" max="8" width="12.625" style="30" customWidth="1"/>
    <col min="9" max="12" width="11.375" style="30" customWidth="1"/>
    <col min="13" max="13" width="8.375" style="30" customWidth="1"/>
    <col min="14" max="14" width="8.625" style="30" bestFit="1" customWidth="1"/>
    <col min="15" max="15" width="9.625" style="30" customWidth="1"/>
    <col min="16" max="16" width="8.625" style="30" bestFit="1" customWidth="1"/>
    <col min="17" max="22" width="10.125" style="30" customWidth="1"/>
    <col min="23" max="23" width="12.50390625" style="30" customWidth="1"/>
    <col min="24" max="24" width="12.875" style="30" customWidth="1"/>
    <col min="25" max="26" width="12.625" style="30" customWidth="1"/>
    <col min="27" max="27" width="10.875" style="30" bestFit="1" customWidth="1"/>
    <col min="28" max="29" width="10.875" style="30" customWidth="1"/>
    <col min="30" max="30" width="5.50390625" style="30" customWidth="1"/>
    <col min="31" max="31" width="13.00390625" style="30" customWidth="1"/>
    <col min="32" max="38" width="10.125" style="30" customWidth="1"/>
    <col min="39" max="39" width="11.50390625" style="30" customWidth="1"/>
    <col min="40" max="40" width="15.50390625" style="30" customWidth="1"/>
    <col min="41" max="43" width="10.125" style="30" customWidth="1"/>
    <col min="44" max="44" width="13.625" style="30" customWidth="1"/>
    <col min="45" max="45" width="6.00390625" style="30" customWidth="1"/>
    <col min="46" max="46" width="15.75390625" style="30" customWidth="1"/>
    <col min="47" max="47" width="9.375" style="30" customWidth="1"/>
    <col min="48" max="48" width="5.25390625" style="30" customWidth="1"/>
    <col min="49" max="16384" width="10.00390625" style="30" customWidth="1"/>
  </cols>
  <sheetData>
    <row r="1" spans="1:26" ht="15.75" customHeight="1">
      <c r="A1" s="314" t="s">
        <v>98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183"/>
      <c r="O1" s="183"/>
      <c r="P1" s="29"/>
      <c r="R1" s="31"/>
      <c r="S1" s="31"/>
      <c r="T1" s="31"/>
      <c r="W1" s="116"/>
      <c r="X1" s="116"/>
      <c r="Y1" s="116"/>
      <c r="Z1" s="116"/>
    </row>
    <row r="2" spans="1:26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83"/>
      <c r="P2" s="31"/>
      <c r="R2" s="31"/>
      <c r="S2" s="31"/>
      <c r="T2" s="31"/>
      <c r="W2" s="116"/>
      <c r="X2" s="116"/>
      <c r="Y2" s="116"/>
      <c r="Z2" s="116"/>
    </row>
    <row r="3" spans="1:26" ht="12.75">
      <c r="A3" s="314" t="s">
        <v>281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116"/>
      <c r="O3" s="183"/>
      <c r="P3" s="29"/>
      <c r="R3" s="31"/>
      <c r="S3" s="31"/>
      <c r="T3" s="31"/>
      <c r="W3" s="116"/>
      <c r="X3" s="116"/>
      <c r="Y3" s="116"/>
      <c r="Z3" s="116"/>
    </row>
    <row r="4" spans="1:40" s="3" customFormat="1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201"/>
      <c r="O4" s="115"/>
      <c r="P4" s="201"/>
      <c r="Q4" s="201"/>
      <c r="R4" s="10"/>
      <c r="S4" s="1"/>
      <c r="T4" s="1"/>
      <c r="U4" s="1"/>
      <c r="V4" s="1"/>
      <c r="W4" s="1"/>
      <c r="X4" s="1"/>
      <c r="Y4" s="2"/>
      <c r="Z4" s="2"/>
      <c r="AA4" s="10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"/>
    </row>
    <row r="5" spans="1:52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T5" s="184"/>
      <c r="AE5" s="338" t="s">
        <v>185</v>
      </c>
      <c r="AF5" s="338"/>
      <c r="AG5" s="338"/>
      <c r="AI5" s="338" t="s">
        <v>205</v>
      </c>
      <c r="AJ5" s="338"/>
      <c r="AK5" s="338"/>
      <c r="AM5" s="30" t="s">
        <v>220</v>
      </c>
      <c r="AQ5" s="30" t="s">
        <v>252</v>
      </c>
      <c r="AT5" s="30" t="s">
        <v>268</v>
      </c>
      <c r="AW5" s="1" t="s">
        <v>279</v>
      </c>
      <c r="AZ5" s="1" t="s">
        <v>293</v>
      </c>
    </row>
    <row r="6" spans="1:53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7" t="s">
        <v>132</v>
      </c>
      <c r="AF6" s="337"/>
      <c r="AG6" s="337"/>
      <c r="AI6" s="337" t="s">
        <v>132</v>
      </c>
      <c r="AJ6" s="337"/>
      <c r="AK6" s="337"/>
      <c r="AM6" s="116" t="s">
        <v>132</v>
      </c>
      <c r="AN6" s="116"/>
      <c r="AQ6" s="116" t="s">
        <v>132</v>
      </c>
      <c r="AR6" s="116"/>
      <c r="AT6" s="116" t="s">
        <v>132</v>
      </c>
      <c r="AU6" s="116"/>
      <c r="AW6" s="116" t="s">
        <v>132</v>
      </c>
      <c r="AX6" s="116"/>
      <c r="AZ6" s="116" t="s">
        <v>132</v>
      </c>
      <c r="BA6" s="116"/>
    </row>
    <row r="7" spans="1:53" ht="12.75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6" t="s">
        <v>34</v>
      </c>
      <c r="M7" s="6"/>
      <c r="O7" s="33"/>
      <c r="P7" s="33"/>
      <c r="Q7" s="33"/>
      <c r="R7" s="33"/>
      <c r="T7" s="33"/>
      <c r="U7" s="33"/>
      <c r="V7" s="33"/>
      <c r="W7" s="33"/>
      <c r="X7" s="33"/>
      <c r="Y7" s="33"/>
      <c r="AE7" s="337" t="s">
        <v>133</v>
      </c>
      <c r="AF7" s="337"/>
      <c r="AG7" s="337"/>
      <c r="AI7" s="337" t="s">
        <v>133</v>
      </c>
      <c r="AJ7" s="337"/>
      <c r="AK7" s="337"/>
      <c r="AM7" s="116" t="s">
        <v>133</v>
      </c>
      <c r="AN7" s="116"/>
      <c r="AQ7" s="116" t="s">
        <v>133</v>
      </c>
      <c r="AR7" s="116"/>
      <c r="AT7" s="116" t="s">
        <v>133</v>
      </c>
      <c r="AU7" s="116"/>
      <c r="AW7" s="116" t="s">
        <v>133</v>
      </c>
      <c r="AX7" s="116"/>
      <c r="AZ7" s="116" t="s">
        <v>133</v>
      </c>
      <c r="BA7" s="116"/>
    </row>
    <row r="8" spans="1:53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33"/>
      <c r="P8" s="33"/>
      <c r="Q8" s="33"/>
      <c r="R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4" t="s">
        <v>106</v>
      </c>
      <c r="AF8" s="334"/>
      <c r="AG8" s="334"/>
      <c r="AI8" s="334" t="s">
        <v>106</v>
      </c>
      <c r="AJ8" s="334"/>
      <c r="AK8" s="334"/>
      <c r="AM8" s="116" t="s">
        <v>106</v>
      </c>
      <c r="AN8" s="116"/>
      <c r="AQ8" s="116" t="s">
        <v>106</v>
      </c>
      <c r="AR8" s="116"/>
      <c r="AT8" s="116" t="s">
        <v>106</v>
      </c>
      <c r="AU8" s="116"/>
      <c r="AW8" s="116" t="s">
        <v>106</v>
      </c>
      <c r="AX8" s="116"/>
      <c r="AZ8" s="116" t="s">
        <v>106</v>
      </c>
      <c r="BA8" s="116"/>
    </row>
    <row r="9" spans="1:40" ht="13.5" thickBot="1">
      <c r="A9" s="8" t="s">
        <v>1</v>
      </c>
      <c r="B9" s="9" t="s">
        <v>105</v>
      </c>
      <c r="C9" s="9" t="s">
        <v>161</v>
      </c>
      <c r="D9" s="9" t="s">
        <v>168</v>
      </c>
      <c r="E9" s="9" t="s">
        <v>184</v>
      </c>
      <c r="F9" s="9" t="s">
        <v>194</v>
      </c>
      <c r="G9" s="9" t="s">
        <v>208</v>
      </c>
      <c r="H9" s="9" t="s">
        <v>243</v>
      </c>
      <c r="I9" s="9" t="s">
        <v>256</v>
      </c>
      <c r="J9" s="9" t="s">
        <v>269</v>
      </c>
      <c r="K9" s="9" t="s">
        <v>284</v>
      </c>
      <c r="L9" s="9" t="s">
        <v>84</v>
      </c>
      <c r="M9" s="9" t="s">
        <v>84</v>
      </c>
      <c r="N9" s="29" t="s">
        <v>43</v>
      </c>
      <c r="O9" s="40" t="s">
        <v>57</v>
      </c>
      <c r="P9" s="40" t="s">
        <v>58</v>
      </c>
      <c r="Q9" s="40" t="s">
        <v>59</v>
      </c>
      <c r="R9" s="40" t="s">
        <v>60</v>
      </c>
      <c r="S9" s="40" t="s">
        <v>39</v>
      </c>
      <c r="T9" s="40" t="s">
        <v>40</v>
      </c>
      <c r="U9" s="40" t="s">
        <v>46</v>
      </c>
      <c r="V9" s="40" t="s">
        <v>78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4"/>
      <c r="AE9" s="40" t="s">
        <v>134</v>
      </c>
      <c r="AF9" s="330" t="s">
        <v>135</v>
      </c>
      <c r="AG9" s="330"/>
      <c r="AI9" s="40" t="s">
        <v>134</v>
      </c>
      <c r="AJ9" s="330" t="s">
        <v>135</v>
      </c>
      <c r="AK9" s="330"/>
      <c r="AM9" s="240" t="s">
        <v>134</v>
      </c>
      <c r="AN9" s="30" t="s">
        <v>253</v>
      </c>
    </row>
    <row r="10" spans="1:52" ht="16.5" thickTop="1">
      <c r="A10" s="7" t="s">
        <v>5</v>
      </c>
      <c r="B10" s="292">
        <v>7970.84</v>
      </c>
      <c r="C10" s="292">
        <v>8351.42</v>
      </c>
      <c r="D10" s="292">
        <v>8765.45</v>
      </c>
      <c r="E10" s="292">
        <v>9079.98</v>
      </c>
      <c r="F10" s="292">
        <v>9627.96</v>
      </c>
      <c r="G10" s="292">
        <v>10388.974286996414</v>
      </c>
      <c r="H10" s="292">
        <v>11388.066498210857</v>
      </c>
      <c r="I10" s="292">
        <v>12531.463320201101</v>
      </c>
      <c r="J10" s="292">
        <v>13013.071210012646</v>
      </c>
      <c r="K10" s="292">
        <v>13296.910182227824</v>
      </c>
      <c r="L10" s="245">
        <f>(K10-J10)*100/J10</f>
        <v>2.1811835779149855</v>
      </c>
      <c r="M10" s="245">
        <f>((K10-AC10)*100)/AC10</f>
        <v>78.08568557797311</v>
      </c>
      <c r="N10" s="54">
        <v>3672.77</v>
      </c>
      <c r="O10" s="50">
        <v>3990.31</v>
      </c>
      <c r="P10" s="50">
        <v>4300.19</v>
      </c>
      <c r="Q10" s="50">
        <v>4650.73</v>
      </c>
      <c r="R10" s="50">
        <v>5054.34</v>
      </c>
      <c r="S10" s="50">
        <v>5460.65</v>
      </c>
      <c r="T10" s="50">
        <v>5814.75</v>
      </c>
      <c r="U10" s="50">
        <v>5823.27</v>
      </c>
      <c r="V10" s="50">
        <v>5978.27</v>
      </c>
      <c r="W10" s="50">
        <v>6106.38</v>
      </c>
      <c r="X10" s="51">
        <v>6337.74</v>
      </c>
      <c r="Y10" s="52">
        <v>6445.42</v>
      </c>
      <c r="Z10" s="53">
        <v>6584.22</v>
      </c>
      <c r="AA10" s="82">
        <v>6821.41</v>
      </c>
      <c r="AB10" s="82">
        <v>7125.3</v>
      </c>
      <c r="AC10" s="292">
        <f>7466.58</f>
        <v>7466.58</v>
      </c>
      <c r="AD10" s="53"/>
      <c r="AE10" s="82">
        <v>9079.98</v>
      </c>
      <c r="AF10" s="181"/>
      <c r="AG10" s="181"/>
      <c r="AI10" s="214">
        <v>9627.96</v>
      </c>
      <c r="AL10" s="57"/>
      <c r="AM10" s="254">
        <v>10370.966724272062</v>
      </c>
      <c r="AN10" s="57">
        <v>10388.974286996414</v>
      </c>
      <c r="AO10" s="30">
        <f>AM10-AN10</f>
        <v>-18.007562724351374</v>
      </c>
      <c r="AQ10" s="30">
        <v>11388.066498210857</v>
      </c>
      <c r="AR10" s="30" t="s">
        <v>265</v>
      </c>
      <c r="AT10" s="55">
        <v>12531.463320201101</v>
      </c>
      <c r="AW10" s="55">
        <v>13013.071210012646</v>
      </c>
      <c r="AZ10" s="30">
        <v>13296.910182227824</v>
      </c>
    </row>
    <row r="11" spans="1:49" ht="15.75">
      <c r="A11" s="1"/>
      <c r="B11" s="293"/>
      <c r="C11" s="45"/>
      <c r="D11" s="45"/>
      <c r="E11" s="45"/>
      <c r="F11" s="45"/>
      <c r="G11" s="45"/>
      <c r="H11" s="45"/>
      <c r="I11" s="45"/>
      <c r="J11" s="45"/>
      <c r="K11" s="45"/>
      <c r="L11" s="1"/>
      <c r="M11" s="89"/>
      <c r="O11" s="36"/>
      <c r="R11" s="36"/>
      <c r="S11" s="36"/>
      <c r="U11" s="123">
        <f>(U10-T10)/T10</f>
        <v>0.0014652392622211507</v>
      </c>
      <c r="V11" s="124"/>
      <c r="W11" s="124"/>
      <c r="X11" s="124"/>
      <c r="Y11" s="180"/>
      <c r="Z11" s="180"/>
      <c r="AA11" s="180"/>
      <c r="AB11" s="180"/>
      <c r="AC11" s="293"/>
      <c r="AD11" s="180"/>
      <c r="AE11" s="50"/>
      <c r="AI11" s="95"/>
      <c r="AL11" s="57"/>
      <c r="AM11" s="255"/>
      <c r="AN11" s="57"/>
      <c r="AT11" s="55"/>
      <c r="AW11" s="55"/>
    </row>
    <row r="12" spans="1:53" ht="15.75">
      <c r="A12" s="1" t="s">
        <v>6</v>
      </c>
      <c r="B12" s="48">
        <v>7209.84</v>
      </c>
      <c r="C12" s="294">
        <v>7848.37</v>
      </c>
      <c r="D12" s="294">
        <v>8051.21</v>
      </c>
      <c r="E12" s="294">
        <v>8788.97</v>
      </c>
      <c r="F12" s="294">
        <v>9194.07</v>
      </c>
      <c r="G12" s="294">
        <v>10063.231109374834</v>
      </c>
      <c r="H12" s="294">
        <v>10929.992183626859</v>
      </c>
      <c r="I12" s="294">
        <v>12126.856466119456</v>
      </c>
      <c r="J12" s="294">
        <v>13250.513655469209</v>
      </c>
      <c r="K12" s="294">
        <v>13369.447984498302</v>
      </c>
      <c r="L12" s="245">
        <f>(K12-J12)*100/J12</f>
        <v>0.8975827814795839</v>
      </c>
      <c r="M12" s="245">
        <f>((K12-AC12)*100)/AC12</f>
        <v>91.8843764145893</v>
      </c>
      <c r="N12" s="56">
        <v>3143.03</v>
      </c>
      <c r="O12" s="56">
        <v>3361.84</v>
      </c>
      <c r="P12" s="56">
        <v>3591.75</v>
      </c>
      <c r="Q12" s="56">
        <v>3911.9</v>
      </c>
      <c r="R12" s="56">
        <v>4241.6</v>
      </c>
      <c r="S12" s="56">
        <v>4489.65</v>
      </c>
      <c r="T12" s="56">
        <v>4781.72</v>
      </c>
      <c r="U12" s="56">
        <v>4957.29</v>
      </c>
      <c r="V12" s="56">
        <v>5034.47</v>
      </c>
      <c r="W12" s="56">
        <v>5346.5</v>
      </c>
      <c r="X12" s="81">
        <v>5623.59</v>
      </c>
      <c r="Y12" s="55">
        <v>5843.24</v>
      </c>
      <c r="Z12" s="57">
        <v>5888.74</v>
      </c>
      <c r="AA12" s="81">
        <v>6130.88</v>
      </c>
      <c r="AB12" s="81">
        <v>6476.04</v>
      </c>
      <c r="AC12" s="294">
        <v>6967.45</v>
      </c>
      <c r="AD12" s="57"/>
      <c r="AE12" s="81">
        <v>8788.97</v>
      </c>
      <c r="AF12" s="30">
        <v>11</v>
      </c>
      <c r="AI12" s="215">
        <v>9194.07</v>
      </c>
      <c r="AJ12" s="30">
        <v>12</v>
      </c>
      <c r="AL12" s="57"/>
      <c r="AM12" s="255">
        <v>10063.231109374834</v>
      </c>
      <c r="AN12" s="57">
        <v>10063.231109374834</v>
      </c>
      <c r="AO12" s="30">
        <f>AM12-AN12</f>
        <v>0</v>
      </c>
      <c r="AQ12" s="30">
        <v>10929.992183626859</v>
      </c>
      <c r="AR12" s="30">
        <v>10</v>
      </c>
      <c r="AT12" s="55">
        <v>12126.856466119456</v>
      </c>
      <c r="AU12" s="30">
        <v>9</v>
      </c>
      <c r="AW12" s="55">
        <v>13250.513655469209</v>
      </c>
      <c r="AX12" s="30">
        <v>7</v>
      </c>
      <c r="AZ12" s="30">
        <v>13369.447984498302</v>
      </c>
      <c r="BA12" s="30">
        <v>8</v>
      </c>
    </row>
    <row r="13" spans="1:53" ht="15.75">
      <c r="A13" s="1" t="s">
        <v>7</v>
      </c>
      <c r="B13" s="48">
        <v>7782.27</v>
      </c>
      <c r="C13" s="294">
        <v>8103.5</v>
      </c>
      <c r="D13" s="294">
        <v>8522.46</v>
      </c>
      <c r="E13" s="294">
        <v>8796.5</v>
      </c>
      <c r="F13" s="294">
        <v>9274.97</v>
      </c>
      <c r="G13" s="294">
        <v>9902.09710843044</v>
      </c>
      <c r="H13" s="294">
        <v>10846.45489126139</v>
      </c>
      <c r="I13" s="294">
        <v>11545.228181483579</v>
      </c>
      <c r="J13" s="294">
        <v>12178.397961017714</v>
      </c>
      <c r="K13" s="294">
        <v>12330.023678654741</v>
      </c>
      <c r="L13" s="245">
        <f>(K13-J13)*100/J13</f>
        <v>1.2450382892920042</v>
      </c>
      <c r="M13" s="245">
        <f>((K13-AC13)*100)/AC13</f>
        <v>71.46942869576043</v>
      </c>
      <c r="N13" s="56">
        <v>3515.09</v>
      </c>
      <c r="O13" s="56">
        <v>3813.25</v>
      </c>
      <c r="P13" s="56">
        <v>4128.23</v>
      </c>
      <c r="Q13" s="56">
        <v>4467.11</v>
      </c>
      <c r="R13" s="56">
        <v>4889.18</v>
      </c>
      <c r="S13" s="56">
        <v>5385.05</v>
      </c>
      <c r="T13" s="56">
        <v>5836.6</v>
      </c>
      <c r="U13" s="56">
        <v>5713.41</v>
      </c>
      <c r="V13" s="56">
        <v>5984.26</v>
      </c>
      <c r="W13" s="56">
        <v>6144.22</v>
      </c>
      <c r="X13" s="81">
        <v>6451.81</v>
      </c>
      <c r="Y13" s="55">
        <v>6455.32</v>
      </c>
      <c r="Z13" s="57">
        <v>6463.42</v>
      </c>
      <c r="AA13" s="81">
        <v>6628.59</v>
      </c>
      <c r="AB13" s="81">
        <v>6811.6</v>
      </c>
      <c r="AC13" s="294">
        <v>7190.8</v>
      </c>
      <c r="AD13" s="57"/>
      <c r="AE13" s="81">
        <v>8796.5</v>
      </c>
      <c r="AF13" s="30">
        <v>10</v>
      </c>
      <c r="AI13" s="215">
        <v>9274.97</v>
      </c>
      <c r="AJ13" s="30">
        <v>9</v>
      </c>
      <c r="AL13" s="57"/>
      <c r="AM13" s="255">
        <v>9814.374560956736</v>
      </c>
      <c r="AN13" s="57">
        <v>9902.09710843044</v>
      </c>
      <c r="AO13" s="30">
        <f>AM13-AN13</f>
        <v>-87.72254747370425</v>
      </c>
      <c r="AQ13" s="30">
        <v>10846.45489126139</v>
      </c>
      <c r="AR13" s="30">
        <v>11</v>
      </c>
      <c r="AT13" s="55">
        <v>11545.228181483579</v>
      </c>
      <c r="AU13" s="30">
        <v>13</v>
      </c>
      <c r="AW13" s="55">
        <v>12178.397961017714</v>
      </c>
      <c r="AX13" s="30">
        <v>11</v>
      </c>
      <c r="AZ13" s="30">
        <v>12330.023678654741</v>
      </c>
      <c r="BA13" s="30">
        <v>13</v>
      </c>
    </row>
    <row r="14" spans="1:53" ht="15.75">
      <c r="A14" s="1" t="s">
        <v>8</v>
      </c>
      <c r="B14" s="48">
        <v>8789.62</v>
      </c>
      <c r="C14" s="294">
        <v>9086.31</v>
      </c>
      <c r="D14" s="294">
        <v>9585.49</v>
      </c>
      <c r="E14" s="294">
        <v>9325.6</v>
      </c>
      <c r="F14" s="294">
        <v>9603.43</v>
      </c>
      <c r="G14" s="294">
        <v>10974.038122379166</v>
      </c>
      <c r="H14" s="294">
        <v>12541.973083028202</v>
      </c>
      <c r="I14" s="294">
        <v>13987.99419285033</v>
      </c>
      <c r="J14" s="294">
        <v>14332.031822584702</v>
      </c>
      <c r="K14" s="294">
        <v>14182.82184205181</v>
      </c>
      <c r="L14" s="245">
        <f>(K14-J14)*100/J14</f>
        <v>-1.0410943987562498</v>
      </c>
      <c r="M14" s="245">
        <f>((K14-AC14)*100)/AC14</f>
        <v>78.10164644755159</v>
      </c>
      <c r="N14" s="56">
        <v>3098.6</v>
      </c>
      <c r="O14" s="56">
        <v>3443.97</v>
      </c>
      <c r="P14" s="56">
        <v>3639.97</v>
      </c>
      <c r="Q14" s="56">
        <v>3965.85</v>
      </c>
      <c r="R14" s="56">
        <v>4255.14</v>
      </c>
      <c r="S14" s="56">
        <v>4613.84</v>
      </c>
      <c r="T14" s="56">
        <v>4947.03</v>
      </c>
      <c r="U14" s="56">
        <v>5181.83</v>
      </c>
      <c r="V14" s="56">
        <v>5391.47</v>
      </c>
      <c r="W14" s="56">
        <v>5565.52</v>
      </c>
      <c r="X14" s="81">
        <v>5872.83</v>
      </c>
      <c r="Y14" s="55">
        <v>6151.88</v>
      </c>
      <c r="Z14" s="57">
        <v>6407.68</v>
      </c>
      <c r="AA14" s="81">
        <v>6924.13</v>
      </c>
      <c r="AB14" s="81">
        <v>7415.36</v>
      </c>
      <c r="AC14" s="294">
        <v>7963.33</v>
      </c>
      <c r="AD14" s="57"/>
      <c r="AE14" s="81">
        <v>9325.6</v>
      </c>
      <c r="AF14" s="30">
        <v>6</v>
      </c>
      <c r="AI14" s="215">
        <v>9603.43</v>
      </c>
      <c r="AJ14" s="30">
        <v>6</v>
      </c>
      <c r="AL14" s="57"/>
      <c r="AM14" s="255">
        <v>10974.038122379166</v>
      </c>
      <c r="AN14" s="57">
        <v>10974.038122379166</v>
      </c>
      <c r="AO14" s="30">
        <f>AM14-AN14</f>
        <v>0</v>
      </c>
      <c r="AQ14" s="30">
        <v>12541.973083028202</v>
      </c>
      <c r="AR14" s="30">
        <v>3</v>
      </c>
      <c r="AT14" s="55">
        <v>13987.99419285033</v>
      </c>
      <c r="AU14" s="30">
        <v>3</v>
      </c>
      <c r="AW14" s="55">
        <v>14332.031822584702</v>
      </c>
      <c r="AX14" s="30">
        <v>4</v>
      </c>
      <c r="AZ14" s="30">
        <v>14182.82184205181</v>
      </c>
      <c r="BA14" s="30">
        <v>6</v>
      </c>
    </row>
    <row r="15" spans="1:53" ht="15.75">
      <c r="A15" s="1" t="s">
        <v>9</v>
      </c>
      <c r="B15" s="48">
        <v>7907.94</v>
      </c>
      <c r="C15" s="294">
        <v>8240.94</v>
      </c>
      <c r="D15" s="294">
        <v>8562.39</v>
      </c>
      <c r="E15" s="294">
        <v>8899.46</v>
      </c>
      <c r="F15" s="294">
        <v>9439.14</v>
      </c>
      <c r="G15" s="294">
        <v>10079.276446843342</v>
      </c>
      <c r="H15" s="294">
        <v>11038.050635235679</v>
      </c>
      <c r="I15" s="294">
        <v>11618.75282394326</v>
      </c>
      <c r="J15" s="294">
        <v>12235.856135221911</v>
      </c>
      <c r="K15" s="294">
        <v>12964.377139414806</v>
      </c>
      <c r="L15" s="245">
        <f>(K15-J15)*100/J15</f>
        <v>5.953984716245459</v>
      </c>
      <c r="M15" s="245">
        <f>((K15-AC15)*100)/AC15</f>
        <v>77.09228418926094</v>
      </c>
      <c r="N15" s="56">
        <v>4315.15</v>
      </c>
      <c r="O15" s="56">
        <v>3465.46</v>
      </c>
      <c r="P15" s="56">
        <v>4943.29</v>
      </c>
      <c r="Q15" s="56">
        <v>5162.31</v>
      </c>
      <c r="R15" s="56">
        <v>5722.35</v>
      </c>
      <c r="S15" s="56">
        <v>6006.49</v>
      </c>
      <c r="T15" s="56">
        <v>6219.88</v>
      </c>
      <c r="U15" s="56">
        <v>6199.86</v>
      </c>
      <c r="V15" s="56">
        <v>6202.94</v>
      </c>
      <c r="W15" s="56">
        <v>6191.3</v>
      </c>
      <c r="X15" s="81">
        <v>6337.14</v>
      </c>
      <c r="Y15" s="55">
        <v>6380.34</v>
      </c>
      <c r="Z15" s="57">
        <v>6600.55</v>
      </c>
      <c r="AA15" s="81">
        <v>6917.99</v>
      </c>
      <c r="AB15" s="81">
        <v>7006.98</v>
      </c>
      <c r="AC15" s="294">
        <v>7320.69</v>
      </c>
      <c r="AD15" s="57"/>
      <c r="AE15" s="81">
        <v>8899.46</v>
      </c>
      <c r="AF15" s="30">
        <v>9</v>
      </c>
      <c r="AI15" s="215">
        <v>9439.14</v>
      </c>
      <c r="AJ15" s="30">
        <v>7</v>
      </c>
      <c r="AL15" s="57"/>
      <c r="AM15" s="255">
        <v>10079.276446843342</v>
      </c>
      <c r="AN15" s="57">
        <v>10079.276446843342</v>
      </c>
      <c r="AO15" s="30">
        <f>AM15-AN15</f>
        <v>0</v>
      </c>
      <c r="AQ15" s="30">
        <v>11038.050635235679</v>
      </c>
      <c r="AR15" s="30">
        <v>8</v>
      </c>
      <c r="AT15" s="55">
        <v>11618.75282394326</v>
      </c>
      <c r="AU15" s="30">
        <v>12</v>
      </c>
      <c r="AW15" s="55">
        <v>12235.856135221911</v>
      </c>
      <c r="AX15" s="30">
        <v>10</v>
      </c>
      <c r="AZ15" s="30">
        <v>12964.377139414806</v>
      </c>
      <c r="BA15" s="30">
        <v>9</v>
      </c>
    </row>
    <row r="16" spans="1:53" ht="15.75">
      <c r="A16" s="1" t="s">
        <v>10</v>
      </c>
      <c r="B16" s="48">
        <v>7043.38</v>
      </c>
      <c r="C16" s="294">
        <v>7642.87</v>
      </c>
      <c r="D16" s="294">
        <v>8224.67</v>
      </c>
      <c r="E16" s="294">
        <v>8731.2</v>
      </c>
      <c r="F16" s="294">
        <v>9223.71</v>
      </c>
      <c r="G16" s="294">
        <v>9744.954829195949</v>
      </c>
      <c r="H16" s="294">
        <v>9700.814868883326</v>
      </c>
      <c r="I16" s="294">
        <v>11194.858022639763</v>
      </c>
      <c r="J16" s="294">
        <v>11789.349669282643</v>
      </c>
      <c r="K16" s="294">
        <v>12226.424326991837</v>
      </c>
      <c r="L16" s="245">
        <f>(K16-J16)*100/J16</f>
        <v>3.7073686841946825</v>
      </c>
      <c r="M16" s="245">
        <f>((K16-AC16)*100)/AC16</f>
        <v>82.31224513915755</v>
      </c>
      <c r="N16" s="56">
        <v>3575.04</v>
      </c>
      <c r="O16" s="56">
        <v>3854.38</v>
      </c>
      <c r="P16" s="56">
        <v>3985.16</v>
      </c>
      <c r="Q16" s="56">
        <v>4154.94</v>
      </c>
      <c r="R16" s="56">
        <v>4510.55</v>
      </c>
      <c r="S16" s="56">
        <v>4821.59</v>
      </c>
      <c r="T16" s="56">
        <v>5165.02</v>
      </c>
      <c r="U16" s="56">
        <v>5423.39</v>
      </c>
      <c r="V16" s="56">
        <v>5609.6</v>
      </c>
      <c r="W16" s="56">
        <v>5686.91</v>
      </c>
      <c r="X16" s="81">
        <v>5872.26</v>
      </c>
      <c r="Y16" s="55">
        <v>5996.86</v>
      </c>
      <c r="Z16" s="57">
        <v>6038.52</v>
      </c>
      <c r="AA16" s="81">
        <v>6227.32</v>
      </c>
      <c r="AB16" s="81">
        <v>6520.8</v>
      </c>
      <c r="AC16" s="294">
        <v>6706.31</v>
      </c>
      <c r="AD16" s="57"/>
      <c r="AE16" s="81">
        <v>8731.2</v>
      </c>
      <c r="AF16" s="30">
        <v>13</v>
      </c>
      <c r="AI16" s="215">
        <v>9223.71</v>
      </c>
      <c r="AJ16" s="30">
        <v>10</v>
      </c>
      <c r="AL16" s="57"/>
      <c r="AM16" s="255">
        <v>9744.954829195949</v>
      </c>
      <c r="AN16" s="57">
        <v>9744.954829195949</v>
      </c>
      <c r="AO16" s="30">
        <f>AM16-AN16</f>
        <v>0</v>
      </c>
      <c r="AQ16" s="30">
        <v>9700.814868883326</v>
      </c>
      <c r="AR16" s="30">
        <v>22</v>
      </c>
      <c r="AT16" s="55">
        <v>11194.858022639763</v>
      </c>
      <c r="AU16" s="30">
        <v>16</v>
      </c>
      <c r="AW16" s="55">
        <v>11789.349669282643</v>
      </c>
      <c r="AX16" s="30">
        <v>14</v>
      </c>
      <c r="AZ16" s="30">
        <v>12226.424326991837</v>
      </c>
      <c r="BA16" s="30">
        <v>15</v>
      </c>
    </row>
    <row r="17" spans="1:49" ht="15.75">
      <c r="A17" s="1"/>
      <c r="B17" s="48"/>
      <c r="C17" s="294"/>
      <c r="D17" s="294"/>
      <c r="E17" s="294"/>
      <c r="F17" s="294"/>
      <c r="G17" s="294"/>
      <c r="H17" s="294"/>
      <c r="I17" s="294"/>
      <c r="J17" s="294"/>
      <c r="K17" s="294"/>
      <c r="L17" s="245"/>
      <c r="M17" s="245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81"/>
      <c r="Y17" s="55"/>
      <c r="Z17" s="57"/>
      <c r="AA17" s="81"/>
      <c r="AB17" s="81"/>
      <c r="AC17" s="294"/>
      <c r="AD17" s="57"/>
      <c r="AE17" s="81"/>
      <c r="AI17" s="215"/>
      <c r="AL17" s="57"/>
      <c r="AM17" s="255"/>
      <c r="AN17" s="57"/>
      <c r="AT17" s="55"/>
      <c r="AW17" s="55"/>
    </row>
    <row r="18" spans="1:53" ht="15.75">
      <c r="A18" s="1" t="s">
        <v>11</v>
      </c>
      <c r="B18" s="48">
        <v>6681.47</v>
      </c>
      <c r="C18" s="294">
        <v>7090.43</v>
      </c>
      <c r="D18" s="294">
        <v>7657.2</v>
      </c>
      <c r="E18" s="294">
        <v>8343.25</v>
      </c>
      <c r="F18" s="294">
        <v>8568.05</v>
      </c>
      <c r="G18" s="294">
        <v>9022.65688541657</v>
      </c>
      <c r="H18" s="294">
        <v>9863.866688764892</v>
      </c>
      <c r="I18" s="294">
        <v>10740.279248705849</v>
      </c>
      <c r="J18" s="294">
        <v>11154.108381276152</v>
      </c>
      <c r="K18" s="294">
        <v>11353.705421569082</v>
      </c>
      <c r="L18" s="245">
        <f>(K18-J18)*100/J18</f>
        <v>1.7894486360557897</v>
      </c>
      <c r="M18" s="245">
        <f>((K18-AC18)*100)/AC18</f>
        <v>76.86166643667744</v>
      </c>
      <c r="N18" s="56">
        <v>2879.04</v>
      </c>
      <c r="O18" s="56">
        <v>3076.12</v>
      </c>
      <c r="P18" s="56">
        <v>3396.75</v>
      </c>
      <c r="Q18" s="56">
        <v>3760.86</v>
      </c>
      <c r="R18" s="56">
        <v>4048.73</v>
      </c>
      <c r="S18" s="56">
        <v>4283.82</v>
      </c>
      <c r="T18" s="56">
        <v>4557.7</v>
      </c>
      <c r="U18" s="56">
        <v>4705.98</v>
      </c>
      <c r="V18" s="56">
        <v>4898.29</v>
      </c>
      <c r="W18" s="56">
        <v>5063</v>
      </c>
      <c r="X18" s="81">
        <v>5262.09</v>
      </c>
      <c r="Y18" s="55">
        <v>5354.61</v>
      </c>
      <c r="Z18" s="57">
        <v>5631.2</v>
      </c>
      <c r="AA18" s="81">
        <v>5984.79</v>
      </c>
      <c r="AB18" s="81">
        <v>6281.77</v>
      </c>
      <c r="AC18" s="294">
        <v>6419.54</v>
      </c>
      <c r="AD18" s="57"/>
      <c r="AE18" s="81">
        <v>8343.25</v>
      </c>
      <c r="AF18" s="30">
        <v>18</v>
      </c>
      <c r="AI18" s="215">
        <v>8568.05</v>
      </c>
      <c r="AJ18" s="30">
        <v>21</v>
      </c>
      <c r="AL18" s="57"/>
      <c r="AM18" s="255">
        <v>9034.64303440132</v>
      </c>
      <c r="AN18" s="57">
        <v>9022.65688541657</v>
      </c>
      <c r="AO18" s="30">
        <f>AM18-AN18</f>
        <v>11.986148984749889</v>
      </c>
      <c r="AQ18" s="30">
        <v>9863.866688764892</v>
      </c>
      <c r="AR18" s="30">
        <v>20</v>
      </c>
      <c r="AT18" s="55">
        <v>10740.279248705849</v>
      </c>
      <c r="AU18" s="30">
        <v>22</v>
      </c>
      <c r="AW18" s="55">
        <v>11154.108381276152</v>
      </c>
      <c r="AX18" s="30">
        <v>24</v>
      </c>
      <c r="AZ18" s="30">
        <v>11353.705421569082</v>
      </c>
      <c r="BA18" s="30">
        <v>24</v>
      </c>
    </row>
    <row r="19" spans="1:53" ht="15.75">
      <c r="A19" s="1" t="s">
        <v>12</v>
      </c>
      <c r="B19" s="48">
        <v>7058.83</v>
      </c>
      <c r="C19" s="294">
        <v>7334.79</v>
      </c>
      <c r="D19" s="294">
        <v>7723.83</v>
      </c>
      <c r="E19" s="294">
        <v>8223.11</v>
      </c>
      <c r="F19" s="294">
        <v>8708.47</v>
      </c>
      <c r="G19" s="294">
        <v>9240.747292740058</v>
      </c>
      <c r="H19" s="294">
        <v>10104.738120967239</v>
      </c>
      <c r="I19" s="294">
        <v>11031.379863593813</v>
      </c>
      <c r="J19" s="294">
        <v>11670.758133639183</v>
      </c>
      <c r="K19" s="294">
        <v>12138.884885097976</v>
      </c>
      <c r="L19" s="245">
        <f>(K19-J19)*100/J19</f>
        <v>4.011108328168403</v>
      </c>
      <c r="M19" s="245">
        <f>((K19-AC19)*100)/AC19</f>
        <v>83.31699666401849</v>
      </c>
      <c r="N19" s="56">
        <v>3051.56</v>
      </c>
      <c r="O19" s="56">
        <v>3250.68</v>
      </c>
      <c r="P19" s="56">
        <v>3568.15</v>
      </c>
      <c r="Q19" s="56">
        <v>3892.91</v>
      </c>
      <c r="R19" s="56">
        <v>4320.33</v>
      </c>
      <c r="S19" s="56">
        <v>4736.49</v>
      </c>
      <c r="T19" s="56">
        <v>5076.25</v>
      </c>
      <c r="U19" s="56">
        <v>5188.56</v>
      </c>
      <c r="V19" s="56">
        <v>5315.48</v>
      </c>
      <c r="W19" s="56">
        <v>5529.32</v>
      </c>
      <c r="X19" s="81">
        <v>5795.44</v>
      </c>
      <c r="Y19" s="55">
        <v>5827.92</v>
      </c>
      <c r="Z19" s="57">
        <v>5873.88</v>
      </c>
      <c r="AA19" s="81">
        <v>6066.49</v>
      </c>
      <c r="AB19" s="81">
        <v>6379.48</v>
      </c>
      <c r="AC19" s="294">
        <v>6621.8</v>
      </c>
      <c r="AD19" s="57"/>
      <c r="AE19" s="81">
        <v>8223.11</v>
      </c>
      <c r="AF19" s="30">
        <v>19</v>
      </c>
      <c r="AI19" s="215">
        <v>8708.47</v>
      </c>
      <c r="AJ19" s="30">
        <v>18</v>
      </c>
      <c r="AL19" s="57"/>
      <c r="AM19" s="255">
        <v>9277.598606938729</v>
      </c>
      <c r="AN19" s="57">
        <v>9240.747292740058</v>
      </c>
      <c r="AO19" s="30">
        <f>AM19-AN19</f>
        <v>36.85131419867139</v>
      </c>
      <c r="AQ19" s="30">
        <v>10104.738120967239</v>
      </c>
      <c r="AR19" s="30">
        <v>17</v>
      </c>
      <c r="AT19" s="55">
        <v>11031.379863593813</v>
      </c>
      <c r="AU19" s="30">
        <v>18</v>
      </c>
      <c r="AW19" s="55">
        <v>11670.758133639183</v>
      </c>
      <c r="AX19" s="30">
        <v>17</v>
      </c>
      <c r="AZ19" s="30">
        <v>12138.884885097976</v>
      </c>
      <c r="BA19" s="30">
        <v>16</v>
      </c>
    </row>
    <row r="20" spans="1:53" ht="15.75">
      <c r="A20" s="1" t="s">
        <v>13</v>
      </c>
      <c r="B20" s="48">
        <v>7185.25</v>
      </c>
      <c r="C20" s="294">
        <v>7454.28</v>
      </c>
      <c r="D20" s="294">
        <v>7798.56</v>
      </c>
      <c r="E20" s="294">
        <v>8211.58</v>
      </c>
      <c r="F20" s="294">
        <v>8700.53</v>
      </c>
      <c r="G20" s="294">
        <v>9319.962767567595</v>
      </c>
      <c r="H20" s="294">
        <v>9866.724642664958</v>
      </c>
      <c r="I20" s="294">
        <v>10914.291779972766</v>
      </c>
      <c r="J20" s="294">
        <v>11431.301255284765</v>
      </c>
      <c r="K20" s="294">
        <v>11748.424282437449</v>
      </c>
      <c r="L20" s="245">
        <f>(K20-J20)*100/J20</f>
        <v>2.7741638512595035</v>
      </c>
      <c r="M20" s="245">
        <f>((K20-AC20)*100)/AC20</f>
        <v>74.58405205884418</v>
      </c>
      <c r="N20" s="56">
        <v>3071.63</v>
      </c>
      <c r="O20" s="56">
        <v>3341.91</v>
      </c>
      <c r="P20" s="56">
        <v>3592.77</v>
      </c>
      <c r="Q20" s="56">
        <v>3931.81</v>
      </c>
      <c r="R20" s="56">
        <v>4169.63</v>
      </c>
      <c r="S20" s="56">
        <v>4630.23</v>
      </c>
      <c r="T20" s="56">
        <v>4912.61</v>
      </c>
      <c r="U20" s="56">
        <v>5075.28</v>
      </c>
      <c r="V20" s="56">
        <v>5131.01</v>
      </c>
      <c r="W20" s="56">
        <v>5477.49</v>
      </c>
      <c r="X20" s="81">
        <v>5687.69</v>
      </c>
      <c r="Y20" s="55">
        <v>5830.79</v>
      </c>
      <c r="Z20" s="57">
        <v>5893.97</v>
      </c>
      <c r="AA20" s="81">
        <v>6122.02</v>
      </c>
      <c r="AB20" s="81">
        <v>6451.34</v>
      </c>
      <c r="AC20" s="294">
        <v>6729.38</v>
      </c>
      <c r="AD20" s="57"/>
      <c r="AE20" s="81">
        <v>8211.58</v>
      </c>
      <c r="AF20" s="30">
        <v>20</v>
      </c>
      <c r="AI20" s="215">
        <v>8700.53</v>
      </c>
      <c r="AJ20" s="30">
        <v>19</v>
      </c>
      <c r="AL20" s="57"/>
      <c r="AM20" s="255">
        <v>9402.154952838275</v>
      </c>
      <c r="AN20" s="57">
        <v>9319.962767567595</v>
      </c>
      <c r="AO20" s="30">
        <f>AM20-AN20</f>
        <v>82.19218527068006</v>
      </c>
      <c r="AQ20" s="30">
        <v>9866.724642664958</v>
      </c>
      <c r="AR20" s="30">
        <v>19</v>
      </c>
      <c r="AT20" s="55">
        <v>10914.291779972766</v>
      </c>
      <c r="AU20" s="30">
        <v>19</v>
      </c>
      <c r="AW20" s="55">
        <v>11431.301255284765</v>
      </c>
      <c r="AX20" s="30">
        <v>19</v>
      </c>
      <c r="AZ20" s="30">
        <v>11748.424282437449</v>
      </c>
      <c r="BA20" s="30">
        <v>19</v>
      </c>
    </row>
    <row r="21" spans="1:53" ht="15.75">
      <c r="A21" s="1" t="s">
        <v>14</v>
      </c>
      <c r="B21" s="48">
        <v>7023.29</v>
      </c>
      <c r="C21" s="294">
        <v>7363.01</v>
      </c>
      <c r="D21" s="294">
        <v>7786.32</v>
      </c>
      <c r="E21" s="294">
        <v>8015.72</v>
      </c>
      <c r="F21" s="294">
        <v>8534.97</v>
      </c>
      <c r="G21" s="294">
        <v>9343.45318773449</v>
      </c>
      <c r="H21" s="294">
        <v>10233.843435031049</v>
      </c>
      <c r="I21" s="294">
        <v>11368.917944036275</v>
      </c>
      <c r="J21" s="294">
        <v>11785.746145791649</v>
      </c>
      <c r="K21" s="294">
        <v>12227.57994937773</v>
      </c>
      <c r="L21" s="245">
        <f>(K21-J21)*100/J21</f>
        <v>3.7488827446351176</v>
      </c>
      <c r="M21" s="245">
        <f>((K21-AC21)*100)/AC21</f>
        <v>81.18181110062294</v>
      </c>
      <c r="N21" s="56">
        <v>3200.65</v>
      </c>
      <c r="O21" s="56">
        <v>3419.11</v>
      </c>
      <c r="P21" s="56">
        <v>3709.63</v>
      </c>
      <c r="Q21" s="56">
        <v>4012.31</v>
      </c>
      <c r="R21" s="56">
        <v>4396.36</v>
      </c>
      <c r="S21" s="56">
        <v>4928.76</v>
      </c>
      <c r="T21" s="56">
        <v>5226.64</v>
      </c>
      <c r="U21" s="56">
        <v>5448.45</v>
      </c>
      <c r="V21" s="56">
        <v>5626.86</v>
      </c>
      <c r="W21" s="56">
        <v>5830.56</v>
      </c>
      <c r="X21" s="81">
        <v>5958.52</v>
      </c>
      <c r="Y21" s="55">
        <v>5969.27</v>
      </c>
      <c r="Z21" s="57">
        <v>6157.69</v>
      </c>
      <c r="AA21" s="81">
        <v>6271.22</v>
      </c>
      <c r="AB21" s="81">
        <v>6422.98</v>
      </c>
      <c r="AC21" s="294">
        <v>6748.79</v>
      </c>
      <c r="AD21" s="57"/>
      <c r="AE21" s="81">
        <v>8015.72</v>
      </c>
      <c r="AF21" s="30">
        <v>23</v>
      </c>
      <c r="AI21" s="215">
        <v>8534.97</v>
      </c>
      <c r="AJ21" s="30">
        <v>22</v>
      </c>
      <c r="AL21" s="57"/>
      <c r="AM21" s="255">
        <v>9246.26131426005</v>
      </c>
      <c r="AN21" s="57">
        <v>9343.45318773449</v>
      </c>
      <c r="AO21" s="30">
        <f>AM21-AN21</f>
        <v>-97.19187347444131</v>
      </c>
      <c r="AQ21" s="30">
        <v>10233.843435031049</v>
      </c>
      <c r="AR21" s="30">
        <v>16</v>
      </c>
      <c r="AT21" s="55">
        <v>11368.917944036275</v>
      </c>
      <c r="AU21" s="30">
        <v>14</v>
      </c>
      <c r="AW21" s="55">
        <v>11785.746145791649</v>
      </c>
      <c r="AX21" s="30">
        <v>15</v>
      </c>
      <c r="AZ21" s="30">
        <v>12227.57994937773</v>
      </c>
      <c r="BA21" s="30">
        <v>14</v>
      </c>
    </row>
    <row r="22" spans="1:53" ht="15.75">
      <c r="A22" s="1" t="s">
        <v>15</v>
      </c>
      <c r="B22" s="48">
        <v>8066.98</v>
      </c>
      <c r="C22" s="294">
        <v>8280.43</v>
      </c>
      <c r="D22" s="294">
        <v>8830.7</v>
      </c>
      <c r="E22" s="294">
        <v>9025.22</v>
      </c>
      <c r="F22" s="294">
        <v>9358.33</v>
      </c>
      <c r="G22" s="294">
        <v>10340.209187647719</v>
      </c>
      <c r="H22" s="294">
        <v>11015.335742554556</v>
      </c>
      <c r="I22" s="294">
        <v>12351.365764283411</v>
      </c>
      <c r="J22" s="294">
        <v>12563.711808001446</v>
      </c>
      <c r="K22" s="294">
        <v>12336.046592069624</v>
      </c>
      <c r="L22" s="245">
        <f>(K22-J22)*100/J22</f>
        <v>-1.81208562732893</v>
      </c>
      <c r="M22" s="245">
        <f>((K22-AC22)*100)/AC22</f>
        <v>65.91211092061809</v>
      </c>
      <c r="N22" s="56">
        <v>3359.17</v>
      </c>
      <c r="O22" s="56">
        <v>3698.52</v>
      </c>
      <c r="P22" s="56">
        <v>3862.66</v>
      </c>
      <c r="Q22" s="56">
        <v>4174.21</v>
      </c>
      <c r="R22" s="56">
        <v>4550.95</v>
      </c>
      <c r="S22" s="56">
        <v>5056.99</v>
      </c>
      <c r="T22" s="56">
        <v>5289.09</v>
      </c>
      <c r="U22" s="56">
        <v>5366.62</v>
      </c>
      <c r="V22" s="56">
        <v>5390.79</v>
      </c>
      <c r="W22" s="56">
        <v>5668.1</v>
      </c>
      <c r="X22" s="81">
        <v>6057.77</v>
      </c>
      <c r="Y22" s="55">
        <v>6137.75</v>
      </c>
      <c r="Z22" s="57">
        <v>6428.24</v>
      </c>
      <c r="AA22" s="81">
        <v>6791.72</v>
      </c>
      <c r="AB22" s="81">
        <v>6937.82</v>
      </c>
      <c r="AC22" s="294">
        <v>7435.29</v>
      </c>
      <c r="AD22" s="57"/>
      <c r="AE22" s="81">
        <v>9025.22</v>
      </c>
      <c r="AF22" s="30">
        <v>8</v>
      </c>
      <c r="AI22" s="215">
        <v>9358.33</v>
      </c>
      <c r="AJ22" s="30">
        <v>8</v>
      </c>
      <c r="AL22" s="57"/>
      <c r="AM22" s="255">
        <v>11004.21563005562</v>
      </c>
      <c r="AN22" s="57">
        <v>10340.209187647719</v>
      </c>
      <c r="AO22" s="30">
        <f>AM22-AN22</f>
        <v>664.006442407901</v>
      </c>
      <c r="AQ22" s="30">
        <v>11015.335742554556</v>
      </c>
      <c r="AR22" s="30">
        <v>9</v>
      </c>
      <c r="AT22" s="55">
        <v>12351.365764283411</v>
      </c>
      <c r="AU22" s="30">
        <v>8</v>
      </c>
      <c r="AW22" s="55">
        <v>12563.711808001446</v>
      </c>
      <c r="AX22" s="30">
        <v>9</v>
      </c>
      <c r="AZ22" s="30">
        <v>12336.046592069624</v>
      </c>
      <c r="BA22" s="30">
        <v>12</v>
      </c>
    </row>
    <row r="23" spans="1:49" ht="15.75">
      <c r="A23" s="1"/>
      <c r="B23" s="48"/>
      <c r="C23" s="294"/>
      <c r="D23" s="294"/>
      <c r="E23" s="294"/>
      <c r="F23" s="294"/>
      <c r="G23" s="294"/>
      <c r="H23" s="294"/>
      <c r="I23" s="294"/>
      <c r="J23" s="294"/>
      <c r="K23" s="294"/>
      <c r="L23" s="245"/>
      <c r="M23" s="245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81"/>
      <c r="Y23" s="55"/>
      <c r="Z23" s="57"/>
      <c r="AA23" s="81"/>
      <c r="AB23" s="81"/>
      <c r="AC23" s="294"/>
      <c r="AD23" s="57"/>
      <c r="AE23" s="81"/>
      <c r="AI23" s="215"/>
      <c r="AL23" s="57"/>
      <c r="AM23" s="255"/>
      <c r="AN23" s="57"/>
      <c r="AT23" s="55"/>
      <c r="AW23" s="55"/>
    </row>
    <row r="24" spans="1:53" ht="15.75">
      <c r="A24" s="1" t="s">
        <v>16</v>
      </c>
      <c r="B24" s="48">
        <v>6973.44</v>
      </c>
      <c r="C24" s="294">
        <v>7436.25</v>
      </c>
      <c r="D24" s="294">
        <v>7930.36</v>
      </c>
      <c r="E24" s="294">
        <v>8417.48</v>
      </c>
      <c r="F24" s="294">
        <v>8649.68</v>
      </c>
      <c r="G24" s="294">
        <v>9248.012049049363</v>
      </c>
      <c r="H24" s="294">
        <v>10031.609692084086</v>
      </c>
      <c r="I24" s="294">
        <v>11368.253159954627</v>
      </c>
      <c r="J24" s="294">
        <v>11719.204364608744</v>
      </c>
      <c r="K24" s="294">
        <v>11745.703567422308</v>
      </c>
      <c r="L24" s="245">
        <f>(K24-J24)*100/J24</f>
        <v>0.2261177635368303</v>
      </c>
      <c r="M24" s="245">
        <f>((K24-AC24)*100)/AC24</f>
        <v>78.68128435050022</v>
      </c>
      <c r="N24" s="56">
        <v>3270.32</v>
      </c>
      <c r="O24" s="56">
        <v>3410.66</v>
      </c>
      <c r="P24" s="56">
        <v>3655.45</v>
      </c>
      <c r="Q24" s="56">
        <v>3991.87</v>
      </c>
      <c r="R24" s="56">
        <v>4396.78</v>
      </c>
      <c r="S24" s="56">
        <v>4852.38</v>
      </c>
      <c r="T24" s="56">
        <v>5299.73</v>
      </c>
      <c r="U24" s="56">
        <v>5326.5</v>
      </c>
      <c r="V24" s="56">
        <v>5358.17</v>
      </c>
      <c r="W24" s="56">
        <v>5514.07</v>
      </c>
      <c r="X24" s="81">
        <v>5767.39</v>
      </c>
      <c r="Y24" s="55">
        <v>5803.58</v>
      </c>
      <c r="Z24" s="57">
        <v>5858.42</v>
      </c>
      <c r="AA24" s="81">
        <v>6116.11</v>
      </c>
      <c r="AB24" s="81">
        <v>6364.13</v>
      </c>
      <c r="AC24" s="294">
        <v>6573.55</v>
      </c>
      <c r="AD24" s="57"/>
      <c r="AE24" s="81">
        <v>8417.48</v>
      </c>
      <c r="AF24" s="30">
        <v>16</v>
      </c>
      <c r="AI24" s="215">
        <v>8649.68</v>
      </c>
      <c r="AJ24" s="30">
        <v>20</v>
      </c>
      <c r="AL24" s="57"/>
      <c r="AM24" s="255">
        <v>9266.952406161638</v>
      </c>
      <c r="AN24" s="57">
        <v>9248.012049049363</v>
      </c>
      <c r="AO24" s="30">
        <f>AM24-AN24</f>
        <v>18.940357112274796</v>
      </c>
      <c r="AQ24" s="30">
        <v>10031.609692084086</v>
      </c>
      <c r="AR24" s="30">
        <v>18</v>
      </c>
      <c r="AT24" s="55">
        <v>11368.253159954627</v>
      </c>
      <c r="AU24" s="30">
        <v>15</v>
      </c>
      <c r="AW24" s="55">
        <v>11719.204364608744</v>
      </c>
      <c r="AX24" s="30">
        <v>16</v>
      </c>
      <c r="AZ24" s="30">
        <v>11745.703567422308</v>
      </c>
      <c r="BA24" s="30">
        <v>20</v>
      </c>
    </row>
    <row r="25" spans="1:53" ht="15.75">
      <c r="A25" s="1" t="s">
        <v>17</v>
      </c>
      <c r="B25" s="48">
        <v>7455.2</v>
      </c>
      <c r="C25" s="294">
        <v>7927.12</v>
      </c>
      <c r="D25" s="294">
        <v>8402.57</v>
      </c>
      <c r="E25" s="294">
        <v>8733.74</v>
      </c>
      <c r="F25" s="294">
        <v>9194.83</v>
      </c>
      <c r="G25" s="294">
        <v>9799.90665319547</v>
      </c>
      <c r="H25" s="294">
        <v>10678.690010247019</v>
      </c>
      <c r="I25" s="294">
        <v>11695.915872380188</v>
      </c>
      <c r="J25" s="294">
        <v>12092.767930823175</v>
      </c>
      <c r="K25" s="294">
        <v>12850.089953711242</v>
      </c>
      <c r="L25" s="245">
        <f>(K25-J25)*100/J25</f>
        <v>6.2626027987995565</v>
      </c>
      <c r="M25" s="245">
        <f>((K25-AC25)*100)/AC25</f>
        <v>84.1554340335668</v>
      </c>
      <c r="N25" s="56">
        <v>2794.14</v>
      </c>
      <c r="O25" s="56">
        <v>3264.64</v>
      </c>
      <c r="P25" s="56">
        <v>3558.42</v>
      </c>
      <c r="Q25" s="56">
        <v>3862.36</v>
      </c>
      <c r="R25" s="56">
        <v>4211.3</v>
      </c>
      <c r="S25" s="56">
        <v>4602.61</v>
      </c>
      <c r="T25" s="56">
        <v>5036.21</v>
      </c>
      <c r="U25" s="56">
        <v>5019.7</v>
      </c>
      <c r="V25" s="56">
        <v>5286.78</v>
      </c>
      <c r="W25" s="56">
        <v>5437.88</v>
      </c>
      <c r="X25" s="81">
        <v>5710.73</v>
      </c>
      <c r="Y25" s="55">
        <v>5865.05</v>
      </c>
      <c r="Z25" s="57">
        <v>6105.15</v>
      </c>
      <c r="AA25" s="81">
        <v>6471.54</v>
      </c>
      <c r="AB25" s="81">
        <v>6701.91</v>
      </c>
      <c r="AC25" s="294">
        <v>6977.85</v>
      </c>
      <c r="AD25" s="57"/>
      <c r="AE25" s="81">
        <v>8733.74</v>
      </c>
      <c r="AF25" s="30">
        <v>12</v>
      </c>
      <c r="AI25" s="215">
        <v>9194.83</v>
      </c>
      <c r="AJ25" s="30">
        <v>11</v>
      </c>
      <c r="AL25" s="57"/>
      <c r="AM25" s="255">
        <v>9799.90665319547</v>
      </c>
      <c r="AN25" s="57">
        <v>9799.90665319547</v>
      </c>
      <c r="AO25" s="30">
        <f>AM25-AN25</f>
        <v>0</v>
      </c>
      <c r="AQ25" s="30">
        <v>10678.690010247019</v>
      </c>
      <c r="AR25" s="30">
        <v>12</v>
      </c>
      <c r="AT25" s="55">
        <v>11695.915872380188</v>
      </c>
      <c r="AU25" s="30">
        <v>11</v>
      </c>
      <c r="AW25" s="55">
        <v>12092.767930823175</v>
      </c>
      <c r="AX25" s="30">
        <v>12</v>
      </c>
      <c r="AZ25" s="30">
        <v>12850.089953711242</v>
      </c>
      <c r="BA25" s="30">
        <v>10</v>
      </c>
    </row>
    <row r="26" spans="1:53" ht="15.75">
      <c r="A26" s="1" t="s">
        <v>18</v>
      </c>
      <c r="B26" s="48">
        <v>6962.42</v>
      </c>
      <c r="C26" s="294">
        <v>7311.55</v>
      </c>
      <c r="D26" s="294">
        <v>7304.12</v>
      </c>
      <c r="E26" s="294">
        <v>7646.96</v>
      </c>
      <c r="F26" s="294">
        <v>8237.04</v>
      </c>
      <c r="G26" s="294">
        <v>9103.750184508093</v>
      </c>
      <c r="H26" s="294">
        <v>10247.463555605002</v>
      </c>
      <c r="I26" s="294">
        <v>11140.837069707128</v>
      </c>
      <c r="J26" s="294">
        <v>11541.572850838389</v>
      </c>
      <c r="K26" s="294">
        <v>11868.611117824303</v>
      </c>
      <c r="L26" s="245">
        <f>(K26-J26)*100/J26</f>
        <v>2.8335675840070387</v>
      </c>
      <c r="M26" s="245">
        <f>((K26-AC26)*100)/AC26</f>
        <v>81.69476786158813</v>
      </c>
      <c r="N26" s="56">
        <v>3175.72</v>
      </c>
      <c r="O26" s="56">
        <v>3416.96</v>
      </c>
      <c r="P26" s="56">
        <v>3645.3</v>
      </c>
      <c r="Q26" s="56">
        <v>3869.8</v>
      </c>
      <c r="R26" s="56">
        <v>4190.94</v>
      </c>
      <c r="S26" s="56">
        <v>4505.41</v>
      </c>
      <c r="T26" s="56">
        <v>4857.55</v>
      </c>
      <c r="U26" s="56">
        <v>5006.56</v>
      </c>
      <c r="V26" s="56">
        <v>5223.39</v>
      </c>
      <c r="W26" s="56">
        <v>5447.48</v>
      </c>
      <c r="X26" s="81">
        <v>5696.95</v>
      </c>
      <c r="Y26" s="55">
        <v>5858.13</v>
      </c>
      <c r="Z26" s="57">
        <v>5945.78</v>
      </c>
      <c r="AA26" s="81">
        <v>6131.75</v>
      </c>
      <c r="AB26" s="81">
        <v>6218.09</v>
      </c>
      <c r="AC26" s="294">
        <v>6532.17</v>
      </c>
      <c r="AD26" s="57"/>
      <c r="AE26" s="81">
        <v>7646.96</v>
      </c>
      <c r="AF26" s="30">
        <v>24</v>
      </c>
      <c r="AI26" s="215">
        <v>8237.04</v>
      </c>
      <c r="AJ26" s="30">
        <v>24</v>
      </c>
      <c r="AL26" s="57"/>
      <c r="AM26" s="255">
        <v>9103.750184508091</v>
      </c>
      <c r="AN26" s="57">
        <v>9103.750184508093</v>
      </c>
      <c r="AO26" s="30">
        <f>AM26-AN26</f>
        <v>0</v>
      </c>
      <c r="AQ26" s="30">
        <v>10247.463555605002</v>
      </c>
      <c r="AR26" s="30">
        <v>15</v>
      </c>
      <c r="AT26" s="55">
        <v>11140.837069707128</v>
      </c>
      <c r="AU26" s="30">
        <v>17</v>
      </c>
      <c r="AW26" s="55">
        <v>11541.572850838389</v>
      </c>
      <c r="AX26" s="30">
        <v>18</v>
      </c>
      <c r="AZ26" s="30">
        <v>11868.611117824303</v>
      </c>
      <c r="BA26" s="30">
        <v>18</v>
      </c>
    </row>
    <row r="27" spans="1:53" ht="15.75">
      <c r="A27" s="1" t="s">
        <v>19</v>
      </c>
      <c r="B27" s="48">
        <v>8431.89</v>
      </c>
      <c r="C27" s="294">
        <v>8976.89</v>
      </c>
      <c r="D27" s="294">
        <v>8969.6</v>
      </c>
      <c r="E27" s="294">
        <v>9928.06</v>
      </c>
      <c r="F27" s="294">
        <v>10585.29</v>
      </c>
      <c r="G27" s="294">
        <v>11232.03159782092</v>
      </c>
      <c r="H27" s="294">
        <v>11940.456161547147</v>
      </c>
      <c r="I27" s="294">
        <v>13174.184738569524</v>
      </c>
      <c r="J27" s="294">
        <v>14166.281963868489</v>
      </c>
      <c r="K27" s="294">
        <v>14188.12693921024</v>
      </c>
      <c r="L27" s="245">
        <f>(K27-J27)*100/J27</f>
        <v>0.15420401342757364</v>
      </c>
      <c r="M27" s="245">
        <f>((K27-AC27)*100)/AC27</f>
        <v>80.06242657217204</v>
      </c>
      <c r="N27" s="56">
        <v>3959.87</v>
      </c>
      <c r="O27" s="56">
        <v>4313</v>
      </c>
      <c r="P27" s="56">
        <v>4726.7</v>
      </c>
      <c r="Q27" s="56">
        <v>5072.81</v>
      </c>
      <c r="R27" s="56">
        <v>5549.22</v>
      </c>
      <c r="S27" s="56">
        <v>6028.51</v>
      </c>
      <c r="T27" s="56">
        <v>6694.59</v>
      </c>
      <c r="U27" s="56">
        <v>6488.66</v>
      </c>
      <c r="V27" s="56">
        <v>6456.71</v>
      </c>
      <c r="W27" s="56">
        <v>6570.92</v>
      </c>
      <c r="X27" s="81">
        <v>6793.21</v>
      </c>
      <c r="Y27" s="55">
        <v>5996.98</v>
      </c>
      <c r="Z27" s="57">
        <v>6987.95</v>
      </c>
      <c r="AA27" s="81">
        <v>7189.81</v>
      </c>
      <c r="AB27" s="81">
        <v>7434.36</v>
      </c>
      <c r="AC27" s="294">
        <v>7879.56</v>
      </c>
      <c r="AD27" s="57"/>
      <c r="AE27" s="81">
        <v>9928.06</v>
      </c>
      <c r="AF27" s="30">
        <v>5</v>
      </c>
      <c r="AI27" s="215">
        <v>10585.29</v>
      </c>
      <c r="AJ27" s="30">
        <v>3</v>
      </c>
      <c r="AL27" s="57"/>
      <c r="AM27" s="255">
        <v>11232.03159782092</v>
      </c>
      <c r="AN27" s="57">
        <v>11232.03159782092</v>
      </c>
      <c r="AO27" s="30">
        <f>AM27-AN27</f>
        <v>0</v>
      </c>
      <c r="AQ27" s="30">
        <v>11940.456161547147</v>
      </c>
      <c r="AR27" s="30">
        <v>6</v>
      </c>
      <c r="AT27" s="55">
        <v>13174.184738569524</v>
      </c>
      <c r="AU27" s="30">
        <v>5</v>
      </c>
      <c r="AW27" s="55">
        <v>14166.281963868489</v>
      </c>
      <c r="AX27" s="30">
        <v>6</v>
      </c>
      <c r="AZ27" s="30">
        <v>14188.12693921024</v>
      </c>
      <c r="BA27" s="30">
        <v>5</v>
      </c>
    </row>
    <row r="28" spans="1:53" ht="15.75">
      <c r="A28" s="1" t="s">
        <v>20</v>
      </c>
      <c r="B28" s="48">
        <v>8979.82</v>
      </c>
      <c r="C28" s="294">
        <v>9460.65</v>
      </c>
      <c r="D28" s="294">
        <v>10038.36</v>
      </c>
      <c r="E28" s="294">
        <v>10007.79</v>
      </c>
      <c r="F28" s="294">
        <v>10422.42</v>
      </c>
      <c r="G28" s="294">
        <v>11104.735923003807</v>
      </c>
      <c r="H28" s="294">
        <v>12267.106358688829</v>
      </c>
      <c r="I28" s="294">
        <v>12677.007037788653</v>
      </c>
      <c r="J28" s="294">
        <v>14489.922108332314</v>
      </c>
      <c r="K28" s="294">
        <v>14652.050001716058</v>
      </c>
      <c r="L28" s="245">
        <f>(K28-J28)*100/J28</f>
        <v>1.1189010691128114</v>
      </c>
      <c r="M28" s="245">
        <f>((K28-AC28)*100)/AC28</f>
        <v>83.97760435301753</v>
      </c>
      <c r="N28" s="56">
        <v>3453.43</v>
      </c>
      <c r="O28" s="56">
        <v>3962.2</v>
      </c>
      <c r="P28" s="56">
        <v>4315.83</v>
      </c>
      <c r="Q28" s="56">
        <v>4712.62</v>
      </c>
      <c r="R28" s="56">
        <v>5277.09</v>
      </c>
      <c r="S28" s="56">
        <v>5622.85</v>
      </c>
      <c r="T28" s="56">
        <v>5753.16</v>
      </c>
      <c r="U28" s="56">
        <v>6015.61</v>
      </c>
      <c r="V28" s="56">
        <v>6009.46</v>
      </c>
      <c r="W28" s="56">
        <v>6430.17</v>
      </c>
      <c r="X28" s="81">
        <v>6688.63</v>
      </c>
      <c r="Y28" s="55">
        <v>6815.05</v>
      </c>
      <c r="Z28" s="57">
        <v>6944.64</v>
      </c>
      <c r="AA28" s="81">
        <v>7850.25</v>
      </c>
      <c r="AB28" s="81">
        <v>7771.19</v>
      </c>
      <c r="AC28" s="294">
        <v>7964.04</v>
      </c>
      <c r="AD28" s="57"/>
      <c r="AE28" s="81">
        <v>10007.79</v>
      </c>
      <c r="AF28" s="30">
        <v>3</v>
      </c>
      <c r="AI28" s="215">
        <v>10422.42</v>
      </c>
      <c r="AJ28" s="30">
        <v>4</v>
      </c>
      <c r="AL28" s="57"/>
      <c r="AM28" s="255">
        <v>11104.735923003807</v>
      </c>
      <c r="AN28" s="57">
        <v>11104.735923003807</v>
      </c>
      <c r="AO28" s="30">
        <f>AM28-AN28</f>
        <v>0</v>
      </c>
      <c r="AQ28" s="30">
        <v>12267.106358688829</v>
      </c>
      <c r="AR28" s="30">
        <v>4</v>
      </c>
      <c r="AT28" s="55">
        <v>12677.007037788653</v>
      </c>
      <c r="AU28" s="30">
        <v>7</v>
      </c>
      <c r="AW28" s="55">
        <v>14489.922108332314</v>
      </c>
      <c r="AX28" s="30">
        <v>3</v>
      </c>
      <c r="AZ28" s="30">
        <v>14652.050001716058</v>
      </c>
      <c r="BA28" s="30">
        <v>3</v>
      </c>
    </row>
    <row r="29" spans="1:49" ht="15.75">
      <c r="A29" s="1"/>
      <c r="B29" s="48"/>
      <c r="C29" s="294"/>
      <c r="D29" s="294"/>
      <c r="E29" s="294"/>
      <c r="F29" s="294"/>
      <c r="G29" s="294"/>
      <c r="H29" s="294"/>
      <c r="I29" s="294"/>
      <c r="J29" s="294"/>
      <c r="K29" s="294"/>
      <c r="L29" s="245"/>
      <c r="M29" s="245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81"/>
      <c r="Y29" s="55"/>
      <c r="Z29" s="57"/>
      <c r="AA29" s="81"/>
      <c r="AB29" s="81"/>
      <c r="AC29" s="294"/>
      <c r="AD29" s="57"/>
      <c r="AE29" s="81"/>
      <c r="AI29" s="215"/>
      <c r="AL29" s="57"/>
      <c r="AM29" s="255"/>
      <c r="AN29" s="57"/>
      <c r="AT29" s="55"/>
      <c r="AW29" s="55"/>
    </row>
    <row r="30" spans="1:53" ht="15.75">
      <c r="A30" s="1" t="s">
        <v>21</v>
      </c>
      <c r="B30" s="48">
        <v>9488.3</v>
      </c>
      <c r="C30" s="294">
        <v>9876.27</v>
      </c>
      <c r="D30" s="294">
        <v>10415.11</v>
      </c>
      <c r="E30" s="294">
        <v>10973.72</v>
      </c>
      <c r="F30" s="294">
        <v>11740.4</v>
      </c>
      <c r="G30" s="294">
        <v>12556.33208809543</v>
      </c>
      <c r="H30" s="294">
        <v>13536.029446550056</v>
      </c>
      <c r="I30" s="294">
        <v>14543.2699834637</v>
      </c>
      <c r="J30" s="294">
        <v>14968.880847731429</v>
      </c>
      <c r="K30" s="294">
        <v>15180.335976532137</v>
      </c>
      <c r="L30" s="245">
        <f>(K30-J30)*100/J30</f>
        <v>1.4126315183593325</v>
      </c>
      <c r="M30" s="245">
        <f>((K30-AC30)*100)/AC30</f>
        <v>70.79220827336202</v>
      </c>
      <c r="N30" s="56">
        <v>4901.45</v>
      </c>
      <c r="O30" s="56">
        <v>5295.02</v>
      </c>
      <c r="P30" s="56">
        <v>5643.57</v>
      </c>
      <c r="Q30" s="56">
        <v>6111.85</v>
      </c>
      <c r="R30" s="56">
        <v>6629.5</v>
      </c>
      <c r="S30" s="56">
        <v>7213.13</v>
      </c>
      <c r="T30" s="56">
        <v>7590.72</v>
      </c>
      <c r="U30" s="56">
        <v>7376.56</v>
      </c>
      <c r="V30" s="56">
        <v>7543.66</v>
      </c>
      <c r="W30" s="56">
        <v>7538.69</v>
      </c>
      <c r="X30" s="81">
        <v>7697.39</v>
      </c>
      <c r="Y30" s="55">
        <v>7886.82</v>
      </c>
      <c r="Z30" s="57">
        <v>8034.88</v>
      </c>
      <c r="AA30" s="81">
        <v>8287</v>
      </c>
      <c r="AB30" s="81">
        <v>8574.38</v>
      </c>
      <c r="AC30" s="294">
        <v>8888.19</v>
      </c>
      <c r="AD30" s="57"/>
      <c r="AE30" s="81">
        <v>10973.72</v>
      </c>
      <c r="AF30" s="30">
        <v>1</v>
      </c>
      <c r="AI30" s="215">
        <v>11740.4</v>
      </c>
      <c r="AJ30" s="30">
        <v>1</v>
      </c>
      <c r="AL30" s="57"/>
      <c r="AM30" s="255">
        <v>12646.759382706716</v>
      </c>
      <c r="AN30" s="57">
        <v>12556.33208809543</v>
      </c>
      <c r="AO30" s="30">
        <f>AM30-AN30</f>
        <v>90.4272946112851</v>
      </c>
      <c r="AQ30" s="30">
        <v>13536.029446550056</v>
      </c>
      <c r="AR30" s="30">
        <v>1</v>
      </c>
      <c r="AT30" s="55">
        <v>14543.2699834637</v>
      </c>
      <c r="AU30" s="30">
        <v>1</v>
      </c>
      <c r="AW30" s="55">
        <v>14968.880847731429</v>
      </c>
      <c r="AX30" s="30">
        <v>2</v>
      </c>
      <c r="AZ30" s="30">
        <v>15180.335976532137</v>
      </c>
      <c r="BA30" s="30">
        <v>2</v>
      </c>
    </row>
    <row r="31" spans="1:53" ht="15.75">
      <c r="A31" s="1" t="s">
        <v>22</v>
      </c>
      <c r="B31" s="48">
        <v>7313.09</v>
      </c>
      <c r="C31" s="294">
        <v>7698.87</v>
      </c>
      <c r="D31" s="294">
        <v>8261.77</v>
      </c>
      <c r="E31" s="294">
        <v>8401.35</v>
      </c>
      <c r="F31" s="294">
        <v>9102.66</v>
      </c>
      <c r="G31" s="294">
        <v>9856.262977604974</v>
      </c>
      <c r="H31" s="294">
        <v>11188.895604281497</v>
      </c>
      <c r="I31" s="294">
        <v>13023.849884685236</v>
      </c>
      <c r="J31" s="294">
        <v>13183.174566977083</v>
      </c>
      <c r="K31" s="294">
        <v>13490.802920892587</v>
      </c>
      <c r="L31" s="245">
        <f>(K31-J31)*100/J31</f>
        <v>2.333492227934931</v>
      </c>
      <c r="M31" s="245">
        <f>((K31-AC31)*100)/AC31</f>
        <v>89.58061363258662</v>
      </c>
      <c r="N31" s="56">
        <v>3577.89</v>
      </c>
      <c r="O31" s="56">
        <v>3931.28</v>
      </c>
      <c r="P31" s="56">
        <v>4326.44</v>
      </c>
      <c r="Q31" s="56">
        <v>4805.36</v>
      </c>
      <c r="R31" s="56">
        <v>5157.42</v>
      </c>
      <c r="S31" s="56">
        <v>5470.57</v>
      </c>
      <c r="T31" s="56">
        <v>5802.68</v>
      </c>
      <c r="U31" s="56">
        <v>5636.98</v>
      </c>
      <c r="V31" s="56">
        <v>5897.43</v>
      </c>
      <c r="W31" s="56">
        <v>6018.46</v>
      </c>
      <c r="X31" s="81">
        <v>6272.26</v>
      </c>
      <c r="Y31" s="55">
        <v>6282.47</v>
      </c>
      <c r="Z31" s="57">
        <v>6370.12</v>
      </c>
      <c r="AA31" s="81">
        <v>6584.5</v>
      </c>
      <c r="AB31" s="81">
        <v>6853.48</v>
      </c>
      <c r="AC31" s="294">
        <v>7116.13</v>
      </c>
      <c r="AD31" s="57"/>
      <c r="AE31" s="81">
        <v>8401.35</v>
      </c>
      <c r="AF31" s="30">
        <v>17</v>
      </c>
      <c r="AI31" s="215">
        <v>9102.66</v>
      </c>
      <c r="AJ31" s="30">
        <v>13</v>
      </c>
      <c r="AL31" s="57"/>
      <c r="AM31" s="255">
        <v>9698.544876685004</v>
      </c>
      <c r="AN31" s="57">
        <v>9856.262977604974</v>
      </c>
      <c r="AO31" s="30">
        <f>AM31-AN31</f>
        <v>-157.7181009199703</v>
      </c>
      <c r="AQ31" s="30">
        <v>11188.895604281497</v>
      </c>
      <c r="AR31" s="30">
        <v>7</v>
      </c>
      <c r="AT31" s="55">
        <v>13023.849884685236</v>
      </c>
      <c r="AU31" s="30">
        <v>6</v>
      </c>
      <c r="AW31" s="55">
        <v>13183.174566977083</v>
      </c>
      <c r="AX31" s="30">
        <v>8</v>
      </c>
      <c r="AZ31" s="30">
        <v>13490.802920892587</v>
      </c>
      <c r="BA31" s="30">
        <v>7</v>
      </c>
    </row>
    <row r="32" spans="1:53" ht="15.75">
      <c r="A32" s="1" t="s">
        <v>23</v>
      </c>
      <c r="B32" s="48">
        <v>7395.2</v>
      </c>
      <c r="C32" s="294">
        <v>7919.13</v>
      </c>
      <c r="D32" s="294">
        <v>8098</v>
      </c>
      <c r="E32" s="294">
        <v>8536.52</v>
      </c>
      <c r="F32" s="294">
        <v>8719.62</v>
      </c>
      <c r="G32" s="294">
        <v>9212.643562210294</v>
      </c>
      <c r="H32" s="294">
        <v>9660.470479940477</v>
      </c>
      <c r="I32" s="294">
        <v>10633.586313538195</v>
      </c>
      <c r="J32" s="294">
        <v>11272.520922459893</v>
      </c>
      <c r="K32" s="294">
        <v>11670.79920436271</v>
      </c>
      <c r="L32" s="245">
        <f>(K32-J32)*100/J32</f>
        <v>3.53317846684381</v>
      </c>
      <c r="M32" s="245">
        <f>((K32-AC32)*100)/AC32</f>
        <v>67.5255176049469</v>
      </c>
      <c r="N32" s="56">
        <v>3367.29</v>
      </c>
      <c r="O32" s="56">
        <v>3852.69</v>
      </c>
      <c r="P32" s="56">
        <v>4262.23</v>
      </c>
      <c r="Q32" s="56">
        <v>4443.58</v>
      </c>
      <c r="R32" s="56">
        <v>4726.82</v>
      </c>
      <c r="S32" s="56">
        <v>5132.51</v>
      </c>
      <c r="T32" s="56">
        <v>5357.94</v>
      </c>
      <c r="U32" s="56">
        <v>5591.5</v>
      </c>
      <c r="V32" s="56">
        <v>5635.29</v>
      </c>
      <c r="W32" s="56">
        <v>5932.42</v>
      </c>
      <c r="X32" s="81">
        <v>6095.58</v>
      </c>
      <c r="Y32" s="55">
        <v>6059.12</v>
      </c>
      <c r="Z32" s="57">
        <v>6281.33</v>
      </c>
      <c r="AA32" s="81">
        <v>6382.87</v>
      </c>
      <c r="AB32" s="81">
        <v>6741.51</v>
      </c>
      <c r="AC32" s="294">
        <v>6966.58</v>
      </c>
      <c r="AD32" s="57"/>
      <c r="AE32" s="81">
        <v>8536.52</v>
      </c>
      <c r="AF32" s="30">
        <v>15</v>
      </c>
      <c r="AI32" s="215">
        <v>8719.62</v>
      </c>
      <c r="AJ32" s="30">
        <v>17</v>
      </c>
      <c r="AL32" s="57"/>
      <c r="AM32" s="255">
        <v>9212.643562210293</v>
      </c>
      <c r="AN32" s="57">
        <v>9212.643562210294</v>
      </c>
      <c r="AO32" s="30">
        <f>AM32-AN32</f>
        <v>0</v>
      </c>
      <c r="AQ32" s="30">
        <v>9660.470479940477</v>
      </c>
      <c r="AR32" s="30">
        <v>23</v>
      </c>
      <c r="AT32" s="55">
        <v>10633.586313538195</v>
      </c>
      <c r="AU32" s="30">
        <v>24</v>
      </c>
      <c r="AW32" s="55">
        <v>11272.520922459893</v>
      </c>
      <c r="AX32" s="30">
        <v>22</v>
      </c>
      <c r="AZ32" s="30">
        <v>11670.79920436271</v>
      </c>
      <c r="BA32" s="30">
        <v>22</v>
      </c>
    </row>
    <row r="33" spans="1:53" ht="15.75">
      <c r="A33" s="1" t="s">
        <v>24</v>
      </c>
      <c r="B33" s="48">
        <v>7425.96</v>
      </c>
      <c r="C33" s="294">
        <v>7852.41</v>
      </c>
      <c r="D33" s="294">
        <v>7968.32</v>
      </c>
      <c r="E33" s="294">
        <v>8167.93</v>
      </c>
      <c r="F33" s="294">
        <v>8903.02</v>
      </c>
      <c r="G33" s="294">
        <v>9262.88185859559</v>
      </c>
      <c r="H33" s="294">
        <v>9769.001769982553</v>
      </c>
      <c r="I33" s="294">
        <v>10828.813262913305</v>
      </c>
      <c r="J33" s="294">
        <v>11386.413475546304</v>
      </c>
      <c r="K33" s="294">
        <v>12081.611026920618</v>
      </c>
      <c r="L33" s="245">
        <f>(K33-J33)*100/J33</f>
        <v>6.105500672949698</v>
      </c>
      <c r="M33" s="245">
        <f>((K33-AC33)*100)/AC33</f>
        <v>73.75987554987549</v>
      </c>
      <c r="N33" s="56">
        <v>3186.08</v>
      </c>
      <c r="O33" s="56">
        <v>3634.98</v>
      </c>
      <c r="P33" s="56">
        <v>3898.11</v>
      </c>
      <c r="Q33" s="56">
        <v>4185.04</v>
      </c>
      <c r="R33" s="56">
        <v>4436.57</v>
      </c>
      <c r="S33" s="56">
        <v>4833.87</v>
      </c>
      <c r="T33" s="56">
        <v>5179.09</v>
      </c>
      <c r="U33" s="56">
        <v>5668.47</v>
      </c>
      <c r="V33" s="56">
        <v>5865.71</v>
      </c>
      <c r="W33" s="56">
        <v>6020.72</v>
      </c>
      <c r="X33" s="81">
        <v>6234.93</v>
      </c>
      <c r="Y33" s="55">
        <v>5993.81</v>
      </c>
      <c r="Z33" s="57">
        <v>6270.88</v>
      </c>
      <c r="AA33" s="81">
        <v>6421.45</v>
      </c>
      <c r="AB33" s="81">
        <v>6708.32</v>
      </c>
      <c r="AC33" s="294">
        <v>6953.05</v>
      </c>
      <c r="AD33" s="57"/>
      <c r="AE33" s="81">
        <v>8167.93</v>
      </c>
      <c r="AF33" s="30">
        <v>21</v>
      </c>
      <c r="AI33" s="215">
        <v>8903.02</v>
      </c>
      <c r="AJ33" s="30">
        <v>16</v>
      </c>
      <c r="AL33" s="57"/>
      <c r="AM33" s="255">
        <v>9262.881858595589</v>
      </c>
      <c r="AN33" s="57">
        <v>9262.88185859559</v>
      </c>
      <c r="AO33" s="30">
        <f>AM33-AN33</f>
        <v>0</v>
      </c>
      <c r="AQ33" s="30">
        <v>9769.001769982553</v>
      </c>
      <c r="AR33" s="30">
        <v>21</v>
      </c>
      <c r="AT33" s="55">
        <v>10828.813262913305</v>
      </c>
      <c r="AU33" s="30">
        <v>21</v>
      </c>
      <c r="AW33" s="55">
        <v>11386.413475546304</v>
      </c>
      <c r="AX33" s="30">
        <v>20</v>
      </c>
      <c r="AZ33" s="30">
        <v>12081.611026920618</v>
      </c>
      <c r="BA33" s="30">
        <v>17</v>
      </c>
    </row>
    <row r="34" spans="1:53" ht="15.75">
      <c r="A34" s="1" t="s">
        <v>25</v>
      </c>
      <c r="B34" s="48">
        <v>8465.22</v>
      </c>
      <c r="C34" s="294">
        <v>8978.08</v>
      </c>
      <c r="D34" s="294">
        <v>9523.81</v>
      </c>
      <c r="E34" s="294">
        <v>9951.12</v>
      </c>
      <c r="F34" s="294">
        <v>10390.45</v>
      </c>
      <c r="G34" s="294">
        <v>11307.863284738287</v>
      </c>
      <c r="H34" s="294">
        <v>12114.58116771507</v>
      </c>
      <c r="I34" s="294">
        <v>13950.271293123127</v>
      </c>
      <c r="J34" s="294">
        <v>14239.571623327443</v>
      </c>
      <c r="K34" s="294">
        <v>14342.037335585423</v>
      </c>
      <c r="L34" s="245">
        <f>(K34-J34)*100/J34</f>
        <v>0.7195842330686314</v>
      </c>
      <c r="M34" s="245">
        <f>((K34-AC34)*100)/AC34</f>
        <v>78.52121456328788</v>
      </c>
      <c r="N34" s="56">
        <v>3018.29</v>
      </c>
      <c r="O34" s="56">
        <v>3277.55</v>
      </c>
      <c r="P34" s="56">
        <v>3559.04</v>
      </c>
      <c r="Q34" s="56">
        <v>3829.65</v>
      </c>
      <c r="R34" s="56">
        <v>4251</v>
      </c>
      <c r="S34" s="56">
        <v>4638.96</v>
      </c>
      <c r="T34" s="56">
        <v>5109.56</v>
      </c>
      <c r="U34" s="56">
        <v>4938.42</v>
      </c>
      <c r="V34" s="56">
        <v>5106.73</v>
      </c>
      <c r="W34" s="56">
        <v>5622.46</v>
      </c>
      <c r="X34" s="81">
        <v>5956.8</v>
      </c>
      <c r="Y34" s="55">
        <v>6586.33</v>
      </c>
      <c r="Z34" s="57">
        <v>6624.11</v>
      </c>
      <c r="AA34" s="81">
        <v>7313.89</v>
      </c>
      <c r="AB34" s="81">
        <v>7637.66</v>
      </c>
      <c r="AC34" s="294">
        <v>8033.8</v>
      </c>
      <c r="AD34" s="57"/>
      <c r="AE34" s="81">
        <v>9951.12</v>
      </c>
      <c r="AF34" s="30">
        <v>4</v>
      </c>
      <c r="AI34" s="215">
        <v>10390.45</v>
      </c>
      <c r="AJ34" s="30">
        <v>5</v>
      </c>
      <c r="AL34" s="57"/>
      <c r="AM34" s="255">
        <v>11307.863284738287</v>
      </c>
      <c r="AN34" s="57">
        <v>11307.863284738287</v>
      </c>
      <c r="AO34" s="30">
        <f>AM34-AN34</f>
        <v>0</v>
      </c>
      <c r="AQ34" s="30">
        <v>12114.58116771507</v>
      </c>
      <c r="AR34" s="30">
        <v>5</v>
      </c>
      <c r="AT34" s="55">
        <v>13950.271293123127</v>
      </c>
      <c r="AU34" s="30">
        <v>4</v>
      </c>
      <c r="AW34" s="55">
        <v>14239.571623327443</v>
      </c>
      <c r="AX34" s="30">
        <v>5</v>
      </c>
      <c r="AZ34" s="30">
        <v>14342.037335585423</v>
      </c>
      <c r="BA34" s="30">
        <v>4</v>
      </c>
    </row>
    <row r="35" spans="1:49" ht="15.75">
      <c r="A35" s="1"/>
      <c r="B35" s="48"/>
      <c r="C35" s="294"/>
      <c r="D35" s="294"/>
      <c r="E35" s="294"/>
      <c r="F35" s="294"/>
      <c r="G35" s="294"/>
      <c r="H35" s="294"/>
      <c r="I35" s="294"/>
      <c r="J35" s="294"/>
      <c r="K35" s="294"/>
      <c r="L35" s="245"/>
      <c r="M35" s="245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81"/>
      <c r="Y35" s="55"/>
      <c r="Z35" s="57"/>
      <c r="AA35" s="81"/>
      <c r="AB35" s="81"/>
      <c r="AC35" s="294"/>
      <c r="AD35" s="57"/>
      <c r="AE35" s="81"/>
      <c r="AI35" s="215"/>
      <c r="AL35" s="57"/>
      <c r="AM35" s="255"/>
      <c r="AN35" s="57"/>
      <c r="AT35" s="55"/>
      <c r="AW35" s="55"/>
    </row>
    <row r="36" spans="1:53" ht="15.75">
      <c r="A36" s="1" t="s">
        <v>26</v>
      </c>
      <c r="B36" s="48">
        <v>7337.71</v>
      </c>
      <c r="C36" s="294">
        <v>7911.52</v>
      </c>
      <c r="D36" s="294">
        <v>8483.29</v>
      </c>
      <c r="E36" s="294">
        <v>9073.12</v>
      </c>
      <c r="F36" s="294">
        <v>9023.72</v>
      </c>
      <c r="G36" s="294">
        <v>9697.000708485726</v>
      </c>
      <c r="H36" s="294">
        <v>10363.76306914782</v>
      </c>
      <c r="I36" s="294">
        <v>10702.240362906503</v>
      </c>
      <c r="J36" s="294">
        <v>11159.501535690366</v>
      </c>
      <c r="K36" s="294">
        <v>11522.814564981436</v>
      </c>
      <c r="L36" s="245">
        <f>(K36-J36)*100/J36</f>
        <v>3.2556385079487713</v>
      </c>
      <c r="M36" s="245">
        <f>((K36-AC36)*100)/AC36</f>
        <v>68.97109078484084</v>
      </c>
      <c r="N36" s="56">
        <v>3490.67</v>
      </c>
      <c r="O36" s="56">
        <v>3767.92</v>
      </c>
      <c r="P36" s="56">
        <v>3859.43</v>
      </c>
      <c r="Q36" s="56">
        <v>4342.83</v>
      </c>
      <c r="R36" s="56">
        <v>4722.49</v>
      </c>
      <c r="S36" s="56">
        <v>5304.5</v>
      </c>
      <c r="T36" s="56">
        <v>5325.86</v>
      </c>
      <c r="U36" s="56">
        <v>5306.71</v>
      </c>
      <c r="V36" s="56">
        <v>5398.95</v>
      </c>
      <c r="W36" s="56">
        <v>5699.62</v>
      </c>
      <c r="X36" s="81">
        <v>5879.46</v>
      </c>
      <c r="Y36" s="55">
        <v>6023.79</v>
      </c>
      <c r="Z36" s="57">
        <v>6163.83</v>
      </c>
      <c r="AA36" s="81">
        <v>6201.98</v>
      </c>
      <c r="AB36" s="81">
        <v>6608.51</v>
      </c>
      <c r="AC36" s="294">
        <v>6819.4</v>
      </c>
      <c r="AD36" s="57"/>
      <c r="AE36" s="81">
        <v>9073.12</v>
      </c>
      <c r="AF36" s="30">
        <v>7</v>
      </c>
      <c r="AI36" s="215">
        <v>9023.72</v>
      </c>
      <c r="AJ36" s="30">
        <v>14</v>
      </c>
      <c r="AL36" s="57"/>
      <c r="AM36" s="255">
        <v>9697.000708485726</v>
      </c>
      <c r="AN36" s="57">
        <v>9697.000708485726</v>
      </c>
      <c r="AO36" s="30">
        <f>AM36-AN36</f>
        <v>0</v>
      </c>
      <c r="AQ36" s="30">
        <v>10363.76306914782</v>
      </c>
      <c r="AR36" s="30">
        <v>14</v>
      </c>
      <c r="AT36" s="55">
        <v>10702.240362906503</v>
      </c>
      <c r="AU36" s="30">
        <v>23</v>
      </c>
      <c r="AW36" s="55">
        <v>11159.501535690366</v>
      </c>
      <c r="AX36" s="30">
        <v>23</v>
      </c>
      <c r="AZ36" s="30">
        <v>11522.814564981436</v>
      </c>
      <c r="BA36" s="30">
        <v>23</v>
      </c>
    </row>
    <row r="37" spans="1:53" ht="15.75">
      <c r="A37" s="1" t="s">
        <v>27</v>
      </c>
      <c r="B37" s="48">
        <v>7085.97</v>
      </c>
      <c r="C37" s="294">
        <v>7593.66</v>
      </c>
      <c r="D37" s="294">
        <v>7910.1</v>
      </c>
      <c r="E37" s="294">
        <v>8167.32</v>
      </c>
      <c r="F37" s="294">
        <v>8522.43</v>
      </c>
      <c r="G37" s="294">
        <v>9127.494528308553</v>
      </c>
      <c r="H37" s="294">
        <v>9631.599565712151</v>
      </c>
      <c r="I37" s="294">
        <v>10891.361136059544</v>
      </c>
      <c r="J37" s="294">
        <v>11276.205135611362</v>
      </c>
      <c r="K37" s="294">
        <v>11705.403208968559</v>
      </c>
      <c r="L37" s="245">
        <f>(K37-J37)*100/J37</f>
        <v>3.806227965840624</v>
      </c>
      <c r="M37" s="245">
        <f>((K37-AC37)*100)/AC37</f>
        <v>72.33570824471798</v>
      </c>
      <c r="N37" s="56">
        <v>3359.32</v>
      </c>
      <c r="O37" s="56">
        <v>3701.96</v>
      </c>
      <c r="P37" s="56">
        <v>3934.99</v>
      </c>
      <c r="Q37" s="56">
        <v>4181.36</v>
      </c>
      <c r="R37" s="56">
        <v>4567.52</v>
      </c>
      <c r="S37" s="56">
        <v>4867.91</v>
      </c>
      <c r="T37" s="56">
        <v>5183.48</v>
      </c>
      <c r="U37" s="56">
        <v>5306.75</v>
      </c>
      <c r="V37" s="56">
        <v>5328.12</v>
      </c>
      <c r="W37" s="56">
        <v>5504.58</v>
      </c>
      <c r="X37" s="81">
        <v>5723.08</v>
      </c>
      <c r="Y37" s="55">
        <v>5695.8</v>
      </c>
      <c r="Z37" s="57">
        <v>5869.49</v>
      </c>
      <c r="AA37" s="81">
        <v>6047.48</v>
      </c>
      <c r="AB37" s="81">
        <v>6412.16</v>
      </c>
      <c r="AC37" s="294">
        <v>6792.21</v>
      </c>
      <c r="AD37" s="57"/>
      <c r="AE37" s="81">
        <v>8167.32</v>
      </c>
      <c r="AF37" s="30">
        <v>22</v>
      </c>
      <c r="AI37" s="215">
        <v>8522.43</v>
      </c>
      <c r="AJ37" s="30">
        <v>23</v>
      </c>
      <c r="AL37" s="57"/>
      <c r="AM37" s="255">
        <v>9127.494528308553</v>
      </c>
      <c r="AN37" s="57">
        <v>9127.494528308553</v>
      </c>
      <c r="AO37" s="30">
        <f>AM37-AN37</f>
        <v>0</v>
      </c>
      <c r="AQ37" s="30">
        <v>9631.599565712151</v>
      </c>
      <c r="AR37" s="30">
        <v>24</v>
      </c>
      <c r="AT37" s="55">
        <v>10891.361136059544</v>
      </c>
      <c r="AU37" s="30">
        <v>20</v>
      </c>
      <c r="AW37" s="55">
        <v>11276.205135611362</v>
      </c>
      <c r="AX37" s="30">
        <v>21</v>
      </c>
      <c r="AZ37" s="30">
        <v>11705.403208968559</v>
      </c>
      <c r="BA37" s="30">
        <v>21</v>
      </c>
    </row>
    <row r="38" spans="1:53" ht="15.75">
      <c r="A38" s="1" t="s">
        <v>28</v>
      </c>
      <c r="B38" s="48">
        <v>7686.17</v>
      </c>
      <c r="C38" s="294">
        <v>7948.4</v>
      </c>
      <c r="D38" s="294">
        <v>8298.92</v>
      </c>
      <c r="E38" s="294">
        <v>8642.93</v>
      </c>
      <c r="F38" s="294">
        <v>8998.11</v>
      </c>
      <c r="G38" s="294">
        <v>9692.417456888159</v>
      </c>
      <c r="H38" s="294">
        <v>10609.21179299119</v>
      </c>
      <c r="I38" s="294">
        <v>11754.41760423501</v>
      </c>
      <c r="J38" s="294">
        <v>12053.764281300068</v>
      </c>
      <c r="K38" s="294">
        <v>12456.817127276443</v>
      </c>
      <c r="L38" s="245">
        <f>(K38-J38)*100/J38</f>
        <v>3.3437923338326963</v>
      </c>
      <c r="M38" s="245">
        <f>((K38-AC38)*100)/AC38</f>
        <v>77.66240263903842</v>
      </c>
      <c r="N38" s="56">
        <v>3161.46</v>
      </c>
      <c r="O38" s="56">
        <v>3361.15</v>
      </c>
      <c r="P38" s="56">
        <v>3623.26</v>
      </c>
      <c r="Q38" s="56">
        <v>3882.99</v>
      </c>
      <c r="R38" s="56">
        <v>4159.17</v>
      </c>
      <c r="S38" s="56">
        <v>4537.09</v>
      </c>
      <c r="T38" s="56">
        <v>4923.35</v>
      </c>
      <c r="U38" s="56">
        <v>5039.23</v>
      </c>
      <c r="V38" s="56">
        <v>5126.69</v>
      </c>
      <c r="W38" s="56">
        <v>5305.65</v>
      </c>
      <c r="X38" s="81">
        <v>5526.54</v>
      </c>
      <c r="Y38" s="55">
        <v>5567.09</v>
      </c>
      <c r="Z38" s="57">
        <v>5882.29</v>
      </c>
      <c r="AA38" s="81">
        <v>6216.07</v>
      </c>
      <c r="AB38" s="81">
        <v>6580.28</v>
      </c>
      <c r="AC38" s="294">
        <v>7011.51</v>
      </c>
      <c r="AD38" s="57"/>
      <c r="AE38" s="81">
        <v>8642.93</v>
      </c>
      <c r="AF38" s="30">
        <v>14</v>
      </c>
      <c r="AI38" s="215">
        <v>8998.11</v>
      </c>
      <c r="AJ38" s="30">
        <v>15</v>
      </c>
      <c r="AL38" s="57"/>
      <c r="AM38" s="255">
        <v>9692.417456888159</v>
      </c>
      <c r="AN38" s="57">
        <v>9692.417456888159</v>
      </c>
      <c r="AO38" s="30">
        <f>AM38-AN38</f>
        <v>0</v>
      </c>
      <c r="AQ38" s="30">
        <v>10609.21179299119</v>
      </c>
      <c r="AR38" s="30">
        <v>13</v>
      </c>
      <c r="AT38" s="55">
        <v>11754.41760423501</v>
      </c>
      <c r="AU38" s="30">
        <v>10</v>
      </c>
      <c r="AW38" s="55">
        <v>12053.764281300068</v>
      </c>
      <c r="AX38" s="30">
        <v>13</v>
      </c>
      <c r="AZ38" s="30">
        <v>12456.817127276443</v>
      </c>
      <c r="BA38" s="30">
        <v>11</v>
      </c>
    </row>
    <row r="39" spans="1:53" ht="15.75">
      <c r="A39" s="17" t="s">
        <v>29</v>
      </c>
      <c r="B39" s="88">
        <v>8506.95</v>
      </c>
      <c r="C39" s="295">
        <v>9417.95</v>
      </c>
      <c r="D39" s="295">
        <v>10749.71</v>
      </c>
      <c r="E39" s="295">
        <v>10672.96</v>
      </c>
      <c r="F39" s="295">
        <v>11227.57</v>
      </c>
      <c r="G39" s="295">
        <v>11907.462481882545</v>
      </c>
      <c r="H39" s="295">
        <v>12962.303789524605</v>
      </c>
      <c r="I39" s="295">
        <v>14459.288958502473</v>
      </c>
      <c r="J39" s="295">
        <v>15497.588828859423</v>
      </c>
      <c r="K39" s="295">
        <v>15728.940858239328</v>
      </c>
      <c r="L39" s="248">
        <f>(K39-J39)*100/J39</f>
        <v>1.492825961088113</v>
      </c>
      <c r="M39" s="248">
        <f>((K39-AC39)*100)/AC39</f>
        <v>102.45486108755479</v>
      </c>
      <c r="N39" s="217">
        <v>3895.8</v>
      </c>
      <c r="O39" s="217">
        <v>4189.02</v>
      </c>
      <c r="P39" s="56">
        <v>4730.35</v>
      </c>
      <c r="Q39" s="56">
        <v>5032.04</v>
      </c>
      <c r="R39" s="56">
        <v>5267.84</v>
      </c>
      <c r="S39" s="217">
        <v>5649.71</v>
      </c>
      <c r="T39" s="56">
        <v>5922.01</v>
      </c>
      <c r="U39" s="56">
        <v>6104.16</v>
      </c>
      <c r="V39" s="56">
        <v>6118.32</v>
      </c>
      <c r="W39" s="56">
        <v>6337.8</v>
      </c>
      <c r="X39" s="58">
        <v>6304.4</v>
      </c>
      <c r="Y39" s="55">
        <v>6399.96</v>
      </c>
      <c r="Z39" s="58">
        <v>6649.65</v>
      </c>
      <c r="AA39" s="58">
        <v>7027.51</v>
      </c>
      <c r="AB39" s="58">
        <v>7409.32</v>
      </c>
      <c r="AC39" s="295">
        <v>7769.11</v>
      </c>
      <c r="AD39" s="58"/>
      <c r="AE39" s="58">
        <v>10672.96</v>
      </c>
      <c r="AF39" s="42">
        <v>2</v>
      </c>
      <c r="AG39" s="42"/>
      <c r="AI39" s="216">
        <v>11227.57</v>
      </c>
      <c r="AJ39" s="30">
        <v>2</v>
      </c>
      <c r="AL39" s="57"/>
      <c r="AM39" s="255">
        <v>11907.462481882545</v>
      </c>
      <c r="AN39" s="57">
        <v>11907.462481882545</v>
      </c>
      <c r="AO39" s="30">
        <f>AM39-AN39</f>
        <v>0</v>
      </c>
      <c r="AQ39" s="30">
        <v>12962.303789524605</v>
      </c>
      <c r="AR39" s="30">
        <v>2</v>
      </c>
      <c r="AT39" s="55">
        <v>14459.288958502473</v>
      </c>
      <c r="AU39" s="30">
        <v>2</v>
      </c>
      <c r="AW39" s="55">
        <v>15497.588828859423</v>
      </c>
      <c r="AX39" s="30">
        <v>1</v>
      </c>
      <c r="AZ39" s="30">
        <v>15728.940858239328</v>
      </c>
      <c r="BA39" s="30">
        <v>1</v>
      </c>
    </row>
    <row r="40" spans="1:26" ht="12.75">
      <c r="A40" s="1" t="s">
        <v>300</v>
      </c>
      <c r="B40" s="18"/>
      <c r="C40" s="18"/>
      <c r="D40" s="18"/>
      <c r="E40" s="212"/>
      <c r="F40" s="212"/>
      <c r="G40" s="212"/>
      <c r="H40" s="212"/>
      <c r="I40" s="212"/>
      <c r="J40" s="212"/>
      <c r="K40" s="212"/>
      <c r="L40" s="212"/>
      <c r="M40" s="212"/>
      <c r="N40" s="267"/>
      <c r="O40" s="57"/>
      <c r="P40" s="37"/>
      <c r="Q40" s="37"/>
      <c r="R40" s="37"/>
      <c r="S40" s="37"/>
      <c r="T40" s="37"/>
      <c r="W40" s="37"/>
      <c r="X40" s="37"/>
      <c r="Y40" s="43"/>
      <c r="Z40" s="70"/>
    </row>
    <row r="41" spans="1:26" ht="12.75">
      <c r="A41" s="1" t="s">
        <v>234</v>
      </c>
      <c r="B41" s="1"/>
      <c r="C41" s="1"/>
      <c r="D41" s="1"/>
      <c r="E41" s="212"/>
      <c r="F41" s="212"/>
      <c r="G41" s="212"/>
      <c r="H41" s="212"/>
      <c r="I41" s="212"/>
      <c r="J41" s="212"/>
      <c r="K41" s="212"/>
      <c r="L41" s="212"/>
      <c r="M41" s="212"/>
      <c r="N41" s="57"/>
      <c r="O41" s="57"/>
      <c r="R41" s="36"/>
      <c r="S41" s="36"/>
      <c r="T41" s="36"/>
      <c r="X41" s="36"/>
      <c r="Y41" s="36"/>
      <c r="Z41" s="36"/>
    </row>
    <row r="42" spans="1:26" ht="12.75">
      <c r="A42" s="1"/>
      <c r="B42" s="1"/>
      <c r="C42" s="1"/>
      <c r="D42" s="1"/>
      <c r="E42" s="212"/>
      <c r="F42" s="212"/>
      <c r="G42" s="212"/>
      <c r="H42" s="212"/>
      <c r="I42" s="212"/>
      <c r="J42" s="212"/>
      <c r="K42" s="212"/>
      <c r="L42" s="212"/>
      <c r="M42" s="212"/>
      <c r="N42" s="57"/>
      <c r="O42" s="57"/>
      <c r="R42" s="36"/>
      <c r="S42" s="36"/>
      <c r="T42" s="36"/>
      <c r="X42" s="36"/>
      <c r="Y42" s="36"/>
      <c r="Z42" s="36"/>
    </row>
    <row r="43" spans="5:26" ht="12.75"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R43" s="36"/>
      <c r="S43" s="36"/>
      <c r="T43" s="36"/>
      <c r="X43" s="36"/>
      <c r="Y43" s="36"/>
      <c r="Z43" s="36"/>
    </row>
    <row r="44" spans="5:26" ht="12.75"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R44" s="36"/>
      <c r="S44" s="36"/>
      <c r="T44" s="36"/>
      <c r="X44" s="36"/>
      <c r="Y44" s="36"/>
      <c r="Z44" s="36"/>
    </row>
    <row r="45" spans="5:26" ht="12.75"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R45" s="36"/>
      <c r="S45" s="36"/>
      <c r="T45" s="36"/>
      <c r="X45" s="36"/>
      <c r="Y45" s="36"/>
      <c r="Z45" s="36"/>
    </row>
    <row r="46" spans="5:26" ht="12.75"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R46" s="36"/>
      <c r="S46" s="36"/>
      <c r="T46" s="36"/>
      <c r="X46" s="36"/>
      <c r="Y46" s="36"/>
      <c r="Z46" s="36"/>
    </row>
    <row r="47" spans="5:26" ht="12.75"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X47" s="36"/>
      <c r="Y47" s="36"/>
      <c r="Z47" s="36"/>
    </row>
    <row r="48" spans="5:26" ht="12.75"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X48" s="36"/>
      <c r="Y48" s="36"/>
      <c r="Z48" s="36"/>
    </row>
    <row r="49" spans="5:26" ht="12.75"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X49" s="36"/>
      <c r="Y49" s="36"/>
      <c r="Z49" s="36"/>
    </row>
    <row r="50" spans="5:26" ht="12.75"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X50" s="36"/>
      <c r="Y50" s="36"/>
      <c r="Z50" s="36"/>
    </row>
    <row r="51" spans="5:26" ht="12.75"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X51" s="36"/>
      <c r="Y51" s="36"/>
      <c r="Z51" s="36"/>
    </row>
    <row r="52" spans="5:26" ht="12.75"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Y52" s="36"/>
      <c r="Z52" s="36"/>
    </row>
    <row r="53" spans="5:26" ht="12.75"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Y53" s="36"/>
      <c r="Z53" s="36"/>
    </row>
    <row r="54" spans="5:15" ht="12.75"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5:15" ht="12.75"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5:15" ht="12.75"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5:15" ht="12.75"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5:15" ht="12.75"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5:15" ht="12.75"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5:15" ht="12.75"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</row>
    <row r="61" spans="5:15" ht="12.75"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5:15" ht="12.75"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pans="5:15" ht="12.75"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5:15" ht="12.75"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5:15" ht="12.75"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</row>
    <row r="66" spans="5:15" ht="12.75"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</row>
    <row r="67" spans="5:15" ht="12.75"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</row>
    <row r="68" spans="5:15" ht="12.75"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69" spans="5:15" ht="12.75"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  <row r="70" spans="5:15" ht="12.75"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</row>
    <row r="71" spans="5:15" ht="12.75"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</row>
    <row r="72" spans="5:15" ht="12.75"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5:15" ht="12.75"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</row>
    <row r="74" spans="5:15" ht="12.75"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</row>
    <row r="75" spans="5:15" ht="12.75"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</row>
  </sheetData>
  <sheetProtection password="CAF5" sheet="1"/>
  <mergeCells count="13">
    <mergeCell ref="A4:M4"/>
    <mergeCell ref="AE8:AG8"/>
    <mergeCell ref="AF9:AG9"/>
    <mergeCell ref="AE6:AG6"/>
    <mergeCell ref="AE5:AG5"/>
    <mergeCell ref="AE7:AG7"/>
    <mergeCell ref="A1:M1"/>
    <mergeCell ref="AJ9:AK9"/>
    <mergeCell ref="AI5:AK5"/>
    <mergeCell ref="AI6:AK6"/>
    <mergeCell ref="AI7:AK7"/>
    <mergeCell ref="AI8:AK8"/>
    <mergeCell ref="A3:M3"/>
  </mergeCells>
  <printOptions/>
  <pageMargins left="0.61" right="0.64" top="1" bottom="1" header="0.5" footer="0.5"/>
  <pageSetup fitToHeight="1" fitToWidth="1" orientation="landscape" scale="69" r:id="rId1"/>
  <headerFooter scaleWithDoc="0" alignWithMargins="0">
    <oddFooter>&amp;L&amp;"Arial,Italic"&amp;10MSDE-LFRO  10 / 2011&amp;C&amp;"Arial,Regular"&amp;10-15 -&amp;R&amp;"Arial,Italic"&amp;10Selected Financial Data - Part 4</oddFooter>
  </headerFooter>
  <rowBreaks count="1" manualBreakCount="1">
    <brk id="4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6"/>
  <sheetViews>
    <sheetView workbookViewId="0" topLeftCell="A34">
      <selection activeCell="A41" sqref="A41"/>
    </sheetView>
  </sheetViews>
  <sheetFormatPr defaultColWidth="10.00390625" defaultRowHeight="15.75"/>
  <cols>
    <col min="1" max="1" width="15.50390625" style="1" customWidth="1"/>
    <col min="2" max="11" width="12.625" style="1" customWidth="1"/>
    <col min="12" max="13" width="6.625" style="1" customWidth="1"/>
    <col min="14" max="14" width="8.75390625" style="1" customWidth="1"/>
    <col min="15" max="20" width="10.125" style="1" customWidth="1"/>
    <col min="21" max="24" width="10.125" style="3" customWidth="1"/>
    <col min="25" max="25" width="11.00390625" style="1" bestFit="1" customWidth="1"/>
    <col min="26" max="27" width="11.00390625" style="3" bestFit="1" customWidth="1"/>
    <col min="28" max="29" width="10.875" style="3" customWidth="1"/>
    <col min="30" max="30" width="8.125" style="3" customWidth="1"/>
    <col min="31" max="31" width="14.125" style="3" customWidth="1"/>
    <col min="32" max="32" width="11.75390625" style="3" customWidth="1"/>
    <col min="33" max="33" width="10.125" style="163" customWidth="1"/>
    <col min="34" max="34" width="10.125" style="101" customWidth="1"/>
    <col min="35" max="35" width="10.125" style="3" customWidth="1"/>
    <col min="36" max="42" width="10.00390625" style="3" customWidth="1"/>
    <col min="43" max="43" width="11.50390625" style="3" customWidth="1"/>
    <col min="44" max="44" width="13.00390625" style="3" customWidth="1"/>
    <col min="45" max="45" width="11.00390625" style="3" customWidth="1"/>
    <col min="46" max="47" width="10.00390625" style="3" customWidth="1"/>
    <col min="48" max="48" width="4.125" style="3" customWidth="1"/>
    <col min="49" max="49" width="10.00390625" style="3" customWidth="1"/>
    <col min="50" max="50" width="12.25390625" style="3" customWidth="1"/>
    <col min="51" max="51" width="10.125" style="3" bestFit="1" customWidth="1"/>
    <col min="52" max="52" width="8.50390625" style="3" bestFit="1" customWidth="1"/>
    <col min="53" max="53" width="7.375" style="3" bestFit="1" customWidth="1"/>
    <col min="54" max="54" width="7.375" style="3" customWidth="1"/>
    <col min="55" max="55" width="3.375" style="3" customWidth="1"/>
    <col min="56" max="56" width="11.625" style="3" customWidth="1"/>
    <col min="57" max="57" width="12.375" style="3" customWidth="1"/>
    <col min="58" max="60" width="10.00390625" style="3" customWidth="1"/>
    <col min="61" max="61" width="4.625" style="3" customWidth="1"/>
    <col min="62" max="62" width="11.50390625" style="3" customWidth="1"/>
    <col min="63" max="63" width="11.625" style="3" customWidth="1"/>
    <col min="64" max="66" width="10.125" style="3" bestFit="1" customWidth="1"/>
    <col min="67" max="67" width="10.00390625" style="3" customWidth="1"/>
    <col min="68" max="72" width="10.125" style="3" bestFit="1" customWidth="1"/>
    <col min="73" max="73" width="10.00390625" style="3" customWidth="1"/>
    <col min="74" max="78" width="10.25390625" style="3" bestFit="1" customWidth="1"/>
    <col min="79" max="16384" width="10.00390625" style="3" customWidth="1"/>
  </cols>
  <sheetData>
    <row r="1" spans="1:25" ht="15.75" customHeight="1">
      <c r="A1" s="115" t="s">
        <v>80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0"/>
      <c r="O1" s="2"/>
      <c r="P1" s="2"/>
      <c r="Q1" s="2"/>
      <c r="Y1" s="115"/>
    </row>
    <row r="2" spans="1:25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Y2" s="115"/>
    </row>
    <row r="3" spans="1:25" ht="12.75">
      <c r="A3" s="115" t="s">
        <v>280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"/>
      <c r="O3" s="10"/>
      <c r="P3" s="10"/>
      <c r="Q3" s="10"/>
      <c r="Y3" s="115"/>
    </row>
    <row r="4" spans="1:35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201"/>
      <c r="P4" s="201"/>
      <c r="Q4" s="10"/>
      <c r="U4" s="1"/>
      <c r="V4" s="1"/>
      <c r="W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1"/>
    </row>
    <row r="5" spans="1:77" ht="13.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94"/>
      <c r="S5" s="3"/>
      <c r="Y5" s="115"/>
      <c r="AE5" s="3" t="s">
        <v>192</v>
      </c>
      <c r="AK5" s="3" t="s">
        <v>206</v>
      </c>
      <c r="AM5" s="163"/>
      <c r="AN5" s="101"/>
      <c r="AQ5" s="3" t="s">
        <v>221</v>
      </c>
      <c r="AS5" s="163"/>
      <c r="AT5" s="101"/>
      <c r="AW5" s="3" t="s">
        <v>221</v>
      </c>
      <c r="AY5" s="163"/>
      <c r="AZ5" s="101"/>
      <c r="BD5" s="3" t="s">
        <v>254</v>
      </c>
      <c r="BF5" s="163"/>
      <c r="BG5" s="101"/>
      <c r="BJ5" s="3" t="s">
        <v>266</v>
      </c>
      <c r="BL5" s="163"/>
      <c r="BM5" s="101"/>
      <c r="BP5" s="3" t="s">
        <v>282</v>
      </c>
      <c r="BR5" s="163"/>
      <c r="BS5" s="101"/>
      <c r="BV5" s="3" t="s">
        <v>292</v>
      </c>
      <c r="BX5" s="163"/>
      <c r="BY5" s="101"/>
    </row>
    <row r="6" spans="1:77" ht="14.25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7"/>
      <c r="AM6" s="163"/>
      <c r="AN6" s="101"/>
      <c r="AS6" s="163"/>
      <c r="AT6" s="101"/>
      <c r="AY6" s="163"/>
      <c r="AZ6" s="101"/>
      <c r="BF6" s="163"/>
      <c r="BG6" s="101"/>
      <c r="BL6" s="163"/>
      <c r="BM6" s="101"/>
      <c r="BR6" s="163"/>
      <c r="BS6" s="101"/>
      <c r="BX6" s="163"/>
      <c r="BY6" s="101"/>
    </row>
    <row r="7" spans="1:77" ht="16.5" thickTop="1">
      <c r="A7" s="7"/>
      <c r="L7" s="6" t="s">
        <v>34</v>
      </c>
      <c r="M7" s="6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B7" s="1"/>
      <c r="AC7" s="30"/>
      <c r="AD7" s="7"/>
      <c r="AE7" s="98" t="s">
        <v>123</v>
      </c>
      <c r="AF7" s="98" t="s">
        <v>126</v>
      </c>
      <c r="AG7" s="190" t="s">
        <v>128</v>
      </c>
      <c r="AH7" s="5"/>
      <c r="AK7" s="98" t="s">
        <v>123</v>
      </c>
      <c r="AL7" s="98" t="s">
        <v>126</v>
      </c>
      <c r="AM7" s="190" t="s">
        <v>128</v>
      </c>
      <c r="AN7" s="5"/>
      <c r="AQ7" s="98" t="s">
        <v>123</v>
      </c>
      <c r="AR7" s="98" t="s">
        <v>126</v>
      </c>
      <c r="AS7" s="190" t="s">
        <v>128</v>
      </c>
      <c r="AT7" s="5"/>
      <c r="AW7" s="98" t="s">
        <v>123</v>
      </c>
      <c r="AX7" s="98" t="s">
        <v>126</v>
      </c>
      <c r="AY7" s="190" t="s">
        <v>128</v>
      </c>
      <c r="AZ7" s="5"/>
      <c r="BD7" s="98" t="s">
        <v>123</v>
      </c>
      <c r="BE7" s="98" t="s">
        <v>126</v>
      </c>
      <c r="BF7" s="190" t="s">
        <v>128</v>
      </c>
      <c r="BG7" s="5"/>
      <c r="BJ7" s="98" t="s">
        <v>123</v>
      </c>
      <c r="BK7" s="98" t="s">
        <v>126</v>
      </c>
      <c r="BL7" s="190" t="s">
        <v>128</v>
      </c>
      <c r="BM7" s="5"/>
      <c r="BP7" s="98" t="s">
        <v>123</v>
      </c>
      <c r="BQ7" s="98" t="s">
        <v>126</v>
      </c>
      <c r="BR7" s="190" t="s">
        <v>128</v>
      </c>
      <c r="BS7" s="5"/>
      <c r="BV7" s="98" t="s">
        <v>123</v>
      </c>
      <c r="BW7" s="98" t="s">
        <v>126</v>
      </c>
      <c r="BX7" s="190" t="s">
        <v>128</v>
      </c>
      <c r="BY7" s="5"/>
    </row>
    <row r="8" spans="1:77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7"/>
      <c r="AC8" s="33"/>
      <c r="AD8" s="7"/>
      <c r="AE8" s="99" t="s">
        <v>124</v>
      </c>
      <c r="AF8" s="99" t="s">
        <v>123</v>
      </c>
      <c r="AG8" s="191" t="s">
        <v>123</v>
      </c>
      <c r="AH8" s="99" t="s">
        <v>130</v>
      </c>
      <c r="AK8" s="99" t="s">
        <v>124</v>
      </c>
      <c r="AL8" s="99" t="s">
        <v>123</v>
      </c>
      <c r="AM8" s="191" t="s">
        <v>123</v>
      </c>
      <c r="AN8" s="99" t="s">
        <v>130</v>
      </c>
      <c r="AQ8" s="99" t="s">
        <v>124</v>
      </c>
      <c r="AR8" s="99" t="s">
        <v>123</v>
      </c>
      <c r="AS8" s="191" t="s">
        <v>123</v>
      </c>
      <c r="AT8" s="99" t="s">
        <v>130</v>
      </c>
      <c r="AW8" s="99" t="s">
        <v>124</v>
      </c>
      <c r="AX8" s="99" t="s">
        <v>123</v>
      </c>
      <c r="AY8" s="191" t="s">
        <v>123</v>
      </c>
      <c r="AZ8" s="99" t="s">
        <v>130</v>
      </c>
      <c r="BD8" s="99" t="s">
        <v>124</v>
      </c>
      <c r="BE8" s="99" t="s">
        <v>123</v>
      </c>
      <c r="BF8" s="191" t="s">
        <v>123</v>
      </c>
      <c r="BG8" s="99" t="s">
        <v>130</v>
      </c>
      <c r="BJ8" s="99" t="s">
        <v>124</v>
      </c>
      <c r="BK8" s="99" t="s">
        <v>123</v>
      </c>
      <c r="BL8" s="191" t="s">
        <v>123</v>
      </c>
      <c r="BM8" s="99" t="s">
        <v>130</v>
      </c>
      <c r="BP8" s="99" t="s">
        <v>124</v>
      </c>
      <c r="BQ8" s="99" t="s">
        <v>123</v>
      </c>
      <c r="BR8" s="191" t="s">
        <v>123</v>
      </c>
      <c r="BS8" s="99" t="s">
        <v>130</v>
      </c>
      <c r="BV8" s="99" t="s">
        <v>124</v>
      </c>
      <c r="BW8" s="99" t="s">
        <v>123</v>
      </c>
      <c r="BX8" s="191" t="s">
        <v>123</v>
      </c>
      <c r="BY8" s="99" t="s">
        <v>130</v>
      </c>
    </row>
    <row r="9" spans="1:77" ht="16.5" thickBot="1">
      <c r="A9" s="8" t="s">
        <v>1</v>
      </c>
      <c r="B9" s="9" t="s">
        <v>105</v>
      </c>
      <c r="C9" s="9" t="s">
        <v>161</v>
      </c>
      <c r="D9" s="9" t="s">
        <v>168</v>
      </c>
      <c r="E9" s="9" t="s">
        <v>184</v>
      </c>
      <c r="F9" s="9" t="s">
        <v>194</v>
      </c>
      <c r="G9" s="9" t="s">
        <v>208</v>
      </c>
      <c r="H9" s="9" t="s">
        <v>243</v>
      </c>
      <c r="I9" s="9" t="s">
        <v>256</v>
      </c>
      <c r="J9" s="9" t="s">
        <v>269</v>
      </c>
      <c r="K9" s="9" t="s">
        <v>284</v>
      </c>
      <c r="L9" s="9" t="s">
        <v>84</v>
      </c>
      <c r="M9" s="9" t="s">
        <v>84</v>
      </c>
      <c r="N9" s="10" t="s">
        <v>43</v>
      </c>
      <c r="O9" s="9" t="s">
        <v>57</v>
      </c>
      <c r="P9" s="9" t="s">
        <v>58</v>
      </c>
      <c r="Q9" s="9" t="s">
        <v>59</v>
      </c>
      <c r="R9" s="9" t="s">
        <v>60</v>
      </c>
      <c r="S9" s="9" t="s">
        <v>39</v>
      </c>
      <c r="T9" s="9" t="s">
        <v>40</v>
      </c>
      <c r="U9" s="9" t="s">
        <v>4</v>
      </c>
      <c r="V9" s="9" t="s">
        <v>41</v>
      </c>
      <c r="W9" s="8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3"/>
      <c r="AE9" s="100" t="s">
        <v>125</v>
      </c>
      <c r="AF9" s="100" t="s">
        <v>127</v>
      </c>
      <c r="AG9" s="192" t="s">
        <v>129</v>
      </c>
      <c r="AH9" s="100" t="s">
        <v>131</v>
      </c>
      <c r="AK9" s="100" t="s">
        <v>125</v>
      </c>
      <c r="AL9" s="100" t="s">
        <v>127</v>
      </c>
      <c r="AM9" s="192" t="s">
        <v>129</v>
      </c>
      <c r="AN9" s="100" t="s">
        <v>131</v>
      </c>
      <c r="AQ9" s="100" t="s">
        <v>125</v>
      </c>
      <c r="AR9" s="100" t="s">
        <v>127</v>
      </c>
      <c r="AS9" s="192" t="s">
        <v>129</v>
      </c>
      <c r="AT9" s="100" t="s">
        <v>131</v>
      </c>
      <c r="AW9" s="100" t="s">
        <v>125</v>
      </c>
      <c r="AX9" s="100" t="s">
        <v>127</v>
      </c>
      <c r="AY9" s="192" t="s">
        <v>129</v>
      </c>
      <c r="AZ9" s="100" t="s">
        <v>131</v>
      </c>
      <c r="BD9" s="100" t="s">
        <v>125</v>
      </c>
      <c r="BE9" s="100" t="s">
        <v>127</v>
      </c>
      <c r="BF9" s="192" t="s">
        <v>129</v>
      </c>
      <c r="BG9" s="100" t="s">
        <v>131</v>
      </c>
      <c r="BJ9" s="100" t="s">
        <v>125</v>
      </c>
      <c r="BK9" s="100" t="s">
        <v>127</v>
      </c>
      <c r="BL9" s="192" t="s">
        <v>129</v>
      </c>
      <c r="BM9" s="100" t="s">
        <v>131</v>
      </c>
      <c r="BP9" s="100" t="s">
        <v>125</v>
      </c>
      <c r="BQ9" s="100" t="s">
        <v>127</v>
      </c>
      <c r="BR9" s="192" t="s">
        <v>129</v>
      </c>
      <c r="BS9" s="100" t="s">
        <v>131</v>
      </c>
      <c r="BV9" s="100" t="s">
        <v>125</v>
      </c>
      <c r="BW9" s="100" t="s">
        <v>127</v>
      </c>
      <c r="BX9" s="192" t="s">
        <v>129</v>
      </c>
      <c r="BY9" s="100" t="s">
        <v>131</v>
      </c>
    </row>
    <row r="10" spans="1:78" ht="16.5" thickTop="1">
      <c r="A10" s="7" t="s">
        <v>5</v>
      </c>
      <c r="B10" s="87">
        <v>4392.63</v>
      </c>
      <c r="C10" s="87">
        <v>4694.88</v>
      </c>
      <c r="D10" s="87">
        <v>4862.83</v>
      </c>
      <c r="E10" s="87">
        <v>4945.41</v>
      </c>
      <c r="F10" s="87">
        <v>5180.06</v>
      </c>
      <c r="G10" s="87">
        <v>5527.165362797112</v>
      </c>
      <c r="H10" s="87">
        <v>6054.472127285487</v>
      </c>
      <c r="I10" s="87">
        <v>6555.303850422286</v>
      </c>
      <c r="J10" s="87">
        <v>6768.206524825324</v>
      </c>
      <c r="K10" s="87">
        <v>6862.849380080784</v>
      </c>
      <c r="L10" s="244">
        <f>(K10-J10)*100/J10</f>
        <v>1.3983446709008693</v>
      </c>
      <c r="M10" s="250">
        <f>((K10-AC10)*100)/AC10</f>
        <v>69.71539663976378</v>
      </c>
      <c r="N10" s="47">
        <v>2073.76</v>
      </c>
      <c r="O10" s="45">
        <v>2280.49</v>
      </c>
      <c r="P10" s="45">
        <v>2483.39</v>
      </c>
      <c r="Q10" s="45">
        <v>2694.63</v>
      </c>
      <c r="R10" s="45">
        <v>2946.96</v>
      </c>
      <c r="S10" s="45">
        <v>3180.1</v>
      </c>
      <c r="T10" s="45">
        <v>3390.88</v>
      </c>
      <c r="U10" s="45">
        <v>3370.3</v>
      </c>
      <c r="V10" s="45">
        <v>3453.14</v>
      </c>
      <c r="W10" s="195">
        <v>3523.49</v>
      </c>
      <c r="X10" s="45">
        <v>3704.73</v>
      </c>
      <c r="Y10" s="46">
        <f>3178.33+593.15</f>
        <v>3771.48</v>
      </c>
      <c r="Z10" s="53">
        <v>3849.2</v>
      </c>
      <c r="AA10" s="53">
        <v>3656.13</v>
      </c>
      <c r="AB10" s="87">
        <v>3850.06</v>
      </c>
      <c r="AC10" s="87">
        <v>4043.74</v>
      </c>
      <c r="AD10" s="53"/>
      <c r="AE10" s="95">
        <v>3708.64</v>
      </c>
      <c r="AF10" s="95">
        <v>213.23</v>
      </c>
      <c r="AG10" s="162">
        <v>95.22</v>
      </c>
      <c r="AH10" s="193">
        <v>928.32</v>
      </c>
      <c r="AI10" s="162">
        <f>SUM(AE10:AH10)</f>
        <v>4945.41</v>
      </c>
      <c r="AK10" s="95">
        <v>3838.86</v>
      </c>
      <c r="AL10" s="95">
        <v>235.85</v>
      </c>
      <c r="AM10" s="162">
        <v>109.17</v>
      </c>
      <c r="AN10" s="193">
        <v>996.18</v>
      </c>
      <c r="AO10" s="162">
        <f>SUM(AK10:AN10)</f>
        <v>5180.06</v>
      </c>
      <c r="AQ10" s="95">
        <v>4064.0602159476093</v>
      </c>
      <c r="AR10" s="95">
        <v>249.8987293608817</v>
      </c>
      <c r="AS10" s="95">
        <v>133.15248867303504</v>
      </c>
      <c r="AT10" s="193">
        <v>1070.47350497307</v>
      </c>
      <c r="AU10" s="162">
        <f>SUM(AQ10:AT10)</f>
        <v>5517.584938954596</v>
      </c>
      <c r="AW10" s="95">
        <v>4071.1168212959738</v>
      </c>
      <c r="AX10" s="95">
        <v>250.33263944499848</v>
      </c>
      <c r="AY10" s="95">
        <v>133.3836871577502</v>
      </c>
      <c r="AZ10" s="193">
        <v>1072.3322148983889</v>
      </c>
      <c r="BA10" s="162">
        <f>SUM(AW10:AZ10)</f>
        <v>5527.165362797112</v>
      </c>
      <c r="BB10" s="3">
        <f>AU10-BA10</f>
        <v>-9.580423842516211</v>
      </c>
      <c r="BD10" s="95">
        <v>4419.481429173685</v>
      </c>
      <c r="BE10" s="95">
        <v>262.0194893870934</v>
      </c>
      <c r="BF10" s="95">
        <v>174.48284809717245</v>
      </c>
      <c r="BG10" s="193">
        <v>1198.4883606275364</v>
      </c>
      <c r="BH10" s="162">
        <f>SUM(BD10:BG10)</f>
        <v>6054.472127285487</v>
      </c>
      <c r="BJ10" s="95">
        <v>4789.579838281716</v>
      </c>
      <c r="BK10" s="95">
        <v>270.45245034806646</v>
      </c>
      <c r="BL10" s="95">
        <v>181.04985290912975</v>
      </c>
      <c r="BM10" s="193">
        <v>1314.2217088833743</v>
      </c>
      <c r="BN10" s="162">
        <f>SUM(BJ10:BM10)</f>
        <v>6555.303850422286</v>
      </c>
      <c r="BP10" s="268">
        <v>4947.487502634589</v>
      </c>
      <c r="BQ10" s="95">
        <v>232.66674122880514</v>
      </c>
      <c r="BR10" s="95">
        <v>205.1141423545262</v>
      </c>
      <c r="BS10" s="193">
        <v>1382.938138607404</v>
      </c>
      <c r="BT10" s="162">
        <f>SUM(BP10:BS10)</f>
        <v>6768.206524825324</v>
      </c>
      <c r="BV10" s="268">
        <v>4948.406142754491</v>
      </c>
      <c r="BW10" s="95">
        <v>257.86195158338757</v>
      </c>
      <c r="BX10" s="95">
        <v>197.18237469351843</v>
      </c>
      <c r="BY10" s="193">
        <v>1459.3989110493858</v>
      </c>
      <c r="BZ10" s="162">
        <f aca="true" t="shared" si="0" ref="BZ10:BZ16">SUM(BV10:BY10)</f>
        <v>6862.849380080784</v>
      </c>
    </row>
    <row r="11" spans="13:78" ht="15.75">
      <c r="M11" s="89"/>
      <c r="N11" s="14"/>
      <c r="Q11" s="14"/>
      <c r="R11" s="14"/>
      <c r="U11" s="1"/>
      <c r="V11" s="1"/>
      <c r="W11" s="45"/>
      <c r="X11" s="1"/>
      <c r="Y11" s="14"/>
      <c r="Z11" s="30"/>
      <c r="AA11" s="30"/>
      <c r="AB11" s="1"/>
      <c r="AC11" s="1"/>
      <c r="AD11" s="30"/>
      <c r="AE11" s="96"/>
      <c r="AF11" s="96"/>
      <c r="AH11" s="194"/>
      <c r="AI11" s="101"/>
      <c r="AS11" s="96"/>
      <c r="AY11" s="96"/>
      <c r="BP11" s="96"/>
      <c r="BV11" s="96">
        <v>4948.406142754491</v>
      </c>
      <c r="BW11" s="241">
        <v>257.86195158338757</v>
      </c>
      <c r="BX11" s="241">
        <v>197.18237469351843</v>
      </c>
      <c r="BY11" s="241">
        <v>1459.3989110493858</v>
      </c>
      <c r="BZ11" s="241">
        <f t="shared" si="0"/>
        <v>6862.849380080784</v>
      </c>
    </row>
    <row r="12" spans="1:78" ht="15.75">
      <c r="A12" s="1" t="s">
        <v>6</v>
      </c>
      <c r="B12" s="48">
        <v>3899.32</v>
      </c>
      <c r="C12" s="48">
        <v>4353.24</v>
      </c>
      <c r="D12" s="48">
        <v>4427.71</v>
      </c>
      <c r="E12" s="48">
        <v>4829.5</v>
      </c>
      <c r="F12" s="48">
        <v>5047</v>
      </c>
      <c r="G12" s="48">
        <v>5359.758590871176</v>
      </c>
      <c r="H12" s="48">
        <v>5913.1975731465745</v>
      </c>
      <c r="I12" s="48">
        <v>6334.485884561649</v>
      </c>
      <c r="J12" s="48">
        <v>6951.288964579174</v>
      </c>
      <c r="K12" s="48">
        <v>7143.6221123873165</v>
      </c>
      <c r="L12" s="244">
        <f aca="true" t="shared" si="1" ref="L12:L38">(K12-J12)*100/J12</f>
        <v>2.766870270940987</v>
      </c>
      <c r="M12" s="250">
        <f>((K12-AC12)*100)/AC12</f>
        <v>91.16439060149632</v>
      </c>
      <c r="N12" s="49">
        <v>1777.12</v>
      </c>
      <c r="O12" s="49">
        <v>1916.7</v>
      </c>
      <c r="P12" s="49">
        <v>2042.32</v>
      </c>
      <c r="Q12" s="49">
        <v>2194.89</v>
      </c>
      <c r="R12" s="49">
        <v>2420.21</v>
      </c>
      <c r="S12" s="49">
        <v>2588.24</v>
      </c>
      <c r="T12" s="49">
        <v>2775.1</v>
      </c>
      <c r="U12" s="49">
        <v>2845.96</v>
      </c>
      <c r="V12" s="49">
        <v>2906.88</v>
      </c>
      <c r="W12" s="48">
        <v>3076.1</v>
      </c>
      <c r="X12" s="49">
        <v>3217.06</v>
      </c>
      <c r="Y12" s="48">
        <f>2890.23+470.3</f>
        <v>3360.53</v>
      </c>
      <c r="Z12" s="57">
        <v>3378.38</v>
      </c>
      <c r="AA12" s="57">
        <v>3312.7</v>
      </c>
      <c r="AB12" s="48">
        <v>3562.27</v>
      </c>
      <c r="AC12" s="48">
        <v>3736.9</v>
      </c>
      <c r="AD12" s="57"/>
      <c r="AE12" s="96">
        <v>3483.65</v>
      </c>
      <c r="AF12" s="96">
        <v>322.9</v>
      </c>
      <c r="AG12" s="163">
        <v>89.82</v>
      </c>
      <c r="AH12" s="163">
        <v>933.13</v>
      </c>
      <c r="AI12" s="163">
        <f>SUM(AE12:AH12)</f>
        <v>4829.5</v>
      </c>
      <c r="AK12" s="3">
        <v>3623</v>
      </c>
      <c r="AL12" s="3">
        <v>267</v>
      </c>
      <c r="AM12" s="3">
        <v>96</v>
      </c>
      <c r="AN12" s="3">
        <v>1061</v>
      </c>
      <c r="AO12" s="163">
        <f>SUM(AK12:AN12)</f>
        <v>5047</v>
      </c>
      <c r="AQ12" s="241">
        <v>3898.26266853903</v>
      </c>
      <c r="AR12" s="241">
        <v>250.0592349357519</v>
      </c>
      <c r="AS12" s="96">
        <v>97.96901732639292</v>
      </c>
      <c r="AT12" s="241">
        <v>1113.4676700700022</v>
      </c>
      <c r="AU12" s="163">
        <f>SUM(AQ12:AT12)</f>
        <v>5359.758590871176</v>
      </c>
      <c r="AW12" s="241">
        <v>3898.26266853903</v>
      </c>
      <c r="AX12" s="241">
        <v>250.0592349357519</v>
      </c>
      <c r="AY12" s="96">
        <v>97.96901732639292</v>
      </c>
      <c r="AZ12" s="241">
        <v>1113.4676700700022</v>
      </c>
      <c r="BA12" s="163">
        <f>SUM(AW12:AZ12)</f>
        <v>5359.758590871176</v>
      </c>
      <c r="BB12" s="3">
        <f>AU12-BA12</f>
        <v>0</v>
      </c>
      <c r="BD12" s="3">
        <v>4285.501485121722</v>
      </c>
      <c r="BE12" s="3">
        <v>263.41564681813753</v>
      </c>
      <c r="BF12" s="3">
        <v>110.19410497602374</v>
      </c>
      <c r="BG12" s="3">
        <v>1254.086336230692</v>
      </c>
      <c r="BH12" s="163">
        <f>SUM(BD12:BG12)</f>
        <v>5913.1975731465745</v>
      </c>
      <c r="BJ12" s="3">
        <v>4501.732670057631</v>
      </c>
      <c r="BK12" s="3">
        <v>318.96261788333914</v>
      </c>
      <c r="BL12" s="3">
        <v>147.4939977733147</v>
      </c>
      <c r="BM12" s="3">
        <v>1366.2965988473632</v>
      </c>
      <c r="BN12" s="163">
        <f>SUM(BJ12:BM12)</f>
        <v>6334.485884561649</v>
      </c>
      <c r="BP12" s="269">
        <v>4979.58179791065</v>
      </c>
      <c r="BQ12" s="3">
        <v>435.8235659416007</v>
      </c>
      <c r="BR12" s="3">
        <v>136.0406653807989</v>
      </c>
      <c r="BS12" s="3">
        <v>1399.842935346125</v>
      </c>
      <c r="BT12" s="163">
        <f>SUM(BP12:BS12)</f>
        <v>6951.288964579174</v>
      </c>
      <c r="BV12" s="269">
        <v>5037.310582156196</v>
      </c>
      <c r="BW12" s="3">
        <v>412.12443708051336</v>
      </c>
      <c r="BX12" s="3">
        <v>148.67646269201606</v>
      </c>
      <c r="BY12" s="3">
        <v>1545.510630458592</v>
      </c>
      <c r="BZ12" s="163">
        <f t="shared" si="0"/>
        <v>7143.6221123873165</v>
      </c>
    </row>
    <row r="13" spans="1:78" ht="15.75">
      <c r="A13" s="1" t="s">
        <v>7</v>
      </c>
      <c r="B13" s="48">
        <v>4169.31</v>
      </c>
      <c r="C13" s="48">
        <v>4377.38</v>
      </c>
      <c r="D13" s="48">
        <v>4547.35</v>
      </c>
      <c r="E13" s="48">
        <v>4653.96</v>
      </c>
      <c r="F13" s="48">
        <v>4908</v>
      </c>
      <c r="G13" s="48">
        <v>5184.0413897890885</v>
      </c>
      <c r="H13" s="48">
        <v>5705.067185256721</v>
      </c>
      <c r="I13" s="48">
        <v>6146.842433475211</v>
      </c>
      <c r="J13" s="48">
        <v>6459.391127242613</v>
      </c>
      <c r="K13" s="48">
        <v>6400.434927318256</v>
      </c>
      <c r="L13" s="244">
        <f t="shared" si="1"/>
        <v>-0.9127207001865545</v>
      </c>
      <c r="M13" s="250">
        <f>((K13-AC13)*100)/AC13</f>
        <v>68.78116444017921</v>
      </c>
      <c r="N13" s="49">
        <v>2067.27</v>
      </c>
      <c r="O13" s="49">
        <v>2240.93</v>
      </c>
      <c r="P13" s="49">
        <v>2421.43</v>
      </c>
      <c r="Q13" s="49">
        <v>2624.73</v>
      </c>
      <c r="R13" s="49">
        <v>2865.27</v>
      </c>
      <c r="S13" s="49">
        <v>3154.02</v>
      </c>
      <c r="T13" s="49">
        <v>3424.88</v>
      </c>
      <c r="U13" s="49">
        <v>3328.76</v>
      </c>
      <c r="V13" s="49">
        <v>3466.13</v>
      </c>
      <c r="W13" s="49">
        <v>3537.05</v>
      </c>
      <c r="X13" s="49">
        <v>3723.53</v>
      </c>
      <c r="Y13" s="48">
        <f>3185.09+520.24</f>
        <v>3705.33</v>
      </c>
      <c r="Z13" s="57">
        <v>3718.17</v>
      </c>
      <c r="AA13" s="57">
        <v>3442.61</v>
      </c>
      <c r="AB13" s="48">
        <v>3568.9</v>
      </c>
      <c r="AC13" s="48">
        <v>3792.15</v>
      </c>
      <c r="AD13" s="57"/>
      <c r="AE13" s="96">
        <v>3420.09</v>
      </c>
      <c r="AF13" s="96">
        <v>259.08</v>
      </c>
      <c r="AG13" s="163">
        <v>143.52</v>
      </c>
      <c r="AH13" s="163">
        <v>831.27</v>
      </c>
      <c r="AI13" s="163">
        <f>SUM(AE13:AH13)</f>
        <v>4653.96</v>
      </c>
      <c r="AK13" s="3">
        <v>3619</v>
      </c>
      <c r="AL13" s="3">
        <v>245</v>
      </c>
      <c r="AM13" s="3">
        <v>146</v>
      </c>
      <c r="AN13" s="3">
        <v>898</v>
      </c>
      <c r="AO13" s="163">
        <f>SUM(AK13:AN13)</f>
        <v>4908</v>
      </c>
      <c r="AQ13" s="241">
        <v>3858.210938109824</v>
      </c>
      <c r="AR13" s="241">
        <v>189.26575945279419</v>
      </c>
      <c r="AS13" s="96">
        <v>154.4447640826332</v>
      </c>
      <c r="AT13" s="241">
        <v>936.1945739545469</v>
      </c>
      <c r="AU13" s="163">
        <f>SUM(AQ13:AT13)</f>
        <v>5138.116035599798</v>
      </c>
      <c r="AW13" s="241">
        <v>3892.696283057664</v>
      </c>
      <c r="AX13" s="241">
        <v>190.95744897061564</v>
      </c>
      <c r="AY13" s="96">
        <v>155.82521762709047</v>
      </c>
      <c r="AZ13" s="241">
        <v>944.5624401337184</v>
      </c>
      <c r="BA13" s="163">
        <f>SUM(AW13:AZ13)</f>
        <v>5184.0413897890885</v>
      </c>
      <c r="BB13" s="3">
        <f>AU13-BA13</f>
        <v>-45.925354189290374</v>
      </c>
      <c r="BD13" s="3">
        <v>4291.054918918823</v>
      </c>
      <c r="BE13" s="3">
        <v>212.5838782835737</v>
      </c>
      <c r="BF13" s="3">
        <v>167.71801940278664</v>
      </c>
      <c r="BG13" s="3">
        <v>1033.710368651537</v>
      </c>
      <c r="BH13" s="163">
        <f>SUM(BD13:BG13)</f>
        <v>5705.067185256721</v>
      </c>
      <c r="BJ13" s="3">
        <v>4653.584998065437</v>
      </c>
      <c r="BK13" s="3">
        <v>197.99097184501568</v>
      </c>
      <c r="BL13" s="3">
        <v>144.18038039027647</v>
      </c>
      <c r="BM13" s="3">
        <v>1151.0860831744817</v>
      </c>
      <c r="BN13" s="163">
        <f>SUM(BJ13:BM13)</f>
        <v>6146.842433475211</v>
      </c>
      <c r="BP13" s="269">
        <v>4874.34134402231</v>
      </c>
      <c r="BQ13" s="3">
        <v>178.52426984876828</v>
      </c>
      <c r="BR13" s="3">
        <v>160.94528442570916</v>
      </c>
      <c r="BS13" s="3">
        <v>1245.5802289458254</v>
      </c>
      <c r="BT13" s="163">
        <f>SUM(BP13:BS13)</f>
        <v>6459.391127242613</v>
      </c>
      <c r="BV13" s="269">
        <v>4737.709952566339</v>
      </c>
      <c r="BW13" s="3">
        <v>196.022445081502</v>
      </c>
      <c r="BX13" s="3">
        <v>171.82404971343433</v>
      </c>
      <c r="BY13" s="3">
        <v>1294.8784799569803</v>
      </c>
      <c r="BZ13" s="163">
        <f t="shared" si="0"/>
        <v>6400.434927318256</v>
      </c>
    </row>
    <row r="14" spans="1:78" ht="15.75">
      <c r="A14" s="1" t="s">
        <v>8</v>
      </c>
      <c r="B14" s="48">
        <v>4838.53</v>
      </c>
      <c r="C14" s="48">
        <v>5261.24</v>
      </c>
      <c r="D14" s="48">
        <v>5492.31</v>
      </c>
      <c r="E14" s="48">
        <v>5165.54</v>
      </c>
      <c r="F14" s="48">
        <v>5232</v>
      </c>
      <c r="G14" s="48">
        <v>5829.877207781987</v>
      </c>
      <c r="H14" s="48">
        <v>6839.261960345568</v>
      </c>
      <c r="I14" s="48">
        <v>7530.766946625501</v>
      </c>
      <c r="J14" s="48">
        <v>7681.603929783678</v>
      </c>
      <c r="K14" s="48">
        <v>7535.790867900223</v>
      </c>
      <c r="L14" s="244">
        <f t="shared" si="1"/>
        <v>-1.8982111446555803</v>
      </c>
      <c r="M14" s="250">
        <f>((K14-AC14)*100)/AC14</f>
        <v>79.62545689203637</v>
      </c>
      <c r="N14" s="49">
        <v>1772.86</v>
      </c>
      <c r="O14" s="49">
        <v>1981.98</v>
      </c>
      <c r="P14" s="49">
        <v>2119.93</v>
      </c>
      <c r="Q14" s="49">
        <v>2336.38</v>
      </c>
      <c r="R14" s="49">
        <v>2510.83</v>
      </c>
      <c r="S14" s="49">
        <v>2683.8</v>
      </c>
      <c r="T14" s="49">
        <v>2911.71</v>
      </c>
      <c r="U14" s="49">
        <v>2987.21</v>
      </c>
      <c r="V14" s="49">
        <v>3133.5</v>
      </c>
      <c r="W14" s="49">
        <v>3182.61</v>
      </c>
      <c r="X14" s="49">
        <v>3459.36</v>
      </c>
      <c r="Y14" s="48">
        <f>2803.59+887.57</f>
        <v>3691.1600000000003</v>
      </c>
      <c r="Z14" s="57">
        <v>3779.48</v>
      </c>
      <c r="AA14" s="57">
        <v>3750.06</v>
      </c>
      <c r="AB14" s="48">
        <v>4082.53</v>
      </c>
      <c r="AC14" s="48">
        <v>4195.28</v>
      </c>
      <c r="AD14" s="57"/>
      <c r="AE14" s="96">
        <v>3486.03</v>
      </c>
      <c r="AF14" s="96">
        <v>133.91</v>
      </c>
      <c r="AG14" s="163">
        <v>177.73</v>
      </c>
      <c r="AH14" s="163">
        <v>1367.87</v>
      </c>
      <c r="AI14" s="163">
        <f>SUM(AE14:AH14)</f>
        <v>5165.54</v>
      </c>
      <c r="AK14" s="3">
        <v>3230</v>
      </c>
      <c r="AL14" s="3">
        <v>345</v>
      </c>
      <c r="AM14" s="3">
        <v>266</v>
      </c>
      <c r="AN14" s="3">
        <v>1391</v>
      </c>
      <c r="AO14" s="163">
        <f>SUM(AK14:AN14)</f>
        <v>5232</v>
      </c>
      <c r="AQ14" s="241">
        <v>3557.961015016873</v>
      </c>
      <c r="AR14" s="241">
        <v>293.16566759645644</v>
      </c>
      <c r="AS14" s="96">
        <v>467.7013691907836</v>
      </c>
      <c r="AT14" s="241">
        <v>1511.049155977874</v>
      </c>
      <c r="AU14" s="163">
        <f>SUM(AQ14:AT14)</f>
        <v>5829.877207781987</v>
      </c>
      <c r="AW14" s="241">
        <v>3557.961015016873</v>
      </c>
      <c r="AX14" s="241">
        <v>293.16566759645644</v>
      </c>
      <c r="AY14" s="96">
        <v>467.7013691907836</v>
      </c>
      <c r="AZ14" s="241">
        <v>1511.049155977874</v>
      </c>
      <c r="BA14" s="163">
        <f>SUM(AW14:AZ14)</f>
        <v>5829.877207781987</v>
      </c>
      <c r="BB14" s="3">
        <f>AU14-BA14</f>
        <v>0</v>
      </c>
      <c r="BD14" s="3">
        <v>4127.279425662214</v>
      </c>
      <c r="BE14" s="3">
        <v>338.9154252421986</v>
      </c>
      <c r="BF14" s="3">
        <v>636.816504812041</v>
      </c>
      <c r="BG14" s="3">
        <v>1736.2506046291142</v>
      </c>
      <c r="BH14" s="163">
        <f>SUM(BD14:BG14)</f>
        <v>6839.261960345568</v>
      </c>
      <c r="BJ14" s="3">
        <v>4683.909899905131</v>
      </c>
      <c r="BK14" s="3">
        <v>351.92217509089386</v>
      </c>
      <c r="BL14" s="3">
        <v>616.53586383929</v>
      </c>
      <c r="BM14" s="3">
        <v>1878.399007790186</v>
      </c>
      <c r="BN14" s="163">
        <f>SUM(BJ14:BM14)</f>
        <v>7530.766946625501</v>
      </c>
      <c r="BP14" s="269">
        <v>4718.563210193833</v>
      </c>
      <c r="BQ14" s="3">
        <v>257.97541236048795</v>
      </c>
      <c r="BR14" s="3">
        <v>798.1335176021033</v>
      </c>
      <c r="BS14" s="3">
        <v>1906.9317896272541</v>
      </c>
      <c r="BT14" s="163">
        <f>SUM(BP14:BS14)</f>
        <v>7681.603929783678</v>
      </c>
      <c r="BV14" s="269">
        <v>4562.864080638333</v>
      </c>
      <c r="BW14" s="3">
        <v>285.5942496645007</v>
      </c>
      <c r="BX14" s="3">
        <v>738.5941023775355</v>
      </c>
      <c r="BY14" s="3">
        <v>1948.7384352198535</v>
      </c>
      <c r="BZ14" s="163">
        <f t="shared" si="0"/>
        <v>7535.790867900223</v>
      </c>
    </row>
    <row r="15" spans="1:78" ht="15.75">
      <c r="A15" s="1" t="s">
        <v>9</v>
      </c>
      <c r="B15" s="48">
        <v>4346.25</v>
      </c>
      <c r="C15" s="48">
        <v>4556.16</v>
      </c>
      <c r="D15" s="48">
        <v>4607.15</v>
      </c>
      <c r="E15" s="48">
        <v>4770.11</v>
      </c>
      <c r="F15" s="48">
        <v>4989</v>
      </c>
      <c r="G15" s="48">
        <v>5238.0536205642475</v>
      </c>
      <c r="H15" s="48">
        <v>5640.645939418546</v>
      </c>
      <c r="I15" s="48">
        <v>5812.623751131048</v>
      </c>
      <c r="J15" s="48">
        <v>6003.8672351761015</v>
      </c>
      <c r="K15" s="48">
        <v>6476.104906133627</v>
      </c>
      <c r="L15" s="244">
        <f t="shared" si="1"/>
        <v>7.865558188740897</v>
      </c>
      <c r="M15" s="250">
        <f>((K15-AC15)*100)/AC15</f>
        <v>62.97499814110918</v>
      </c>
      <c r="N15" s="49">
        <v>2463.92</v>
      </c>
      <c r="O15" s="49">
        <v>2666.57</v>
      </c>
      <c r="P15" s="49">
        <v>2915.41</v>
      </c>
      <c r="Q15" s="49">
        <v>3006.46</v>
      </c>
      <c r="R15" s="49">
        <v>3394.1</v>
      </c>
      <c r="S15" s="49">
        <v>3502.67</v>
      </c>
      <c r="T15" s="49">
        <v>3655.93</v>
      </c>
      <c r="U15" s="49">
        <v>3634.45</v>
      </c>
      <c r="V15" s="49">
        <v>3577.65</v>
      </c>
      <c r="W15" s="49">
        <v>3562.21</v>
      </c>
      <c r="X15" s="49">
        <v>3701.71</v>
      </c>
      <c r="Y15" s="48">
        <f>3204.6+530.05</f>
        <v>3734.6499999999996</v>
      </c>
      <c r="Z15" s="57">
        <v>3904.21</v>
      </c>
      <c r="AA15" s="57">
        <v>3667.37</v>
      </c>
      <c r="AB15" s="48">
        <v>3703.6</v>
      </c>
      <c r="AC15" s="48">
        <v>3973.68</v>
      </c>
      <c r="AD15" s="57"/>
      <c r="AE15" s="96">
        <v>3543.46</v>
      </c>
      <c r="AF15" s="96">
        <v>223.2</v>
      </c>
      <c r="AG15" s="163">
        <v>109.34</v>
      </c>
      <c r="AH15" s="163">
        <v>894.11</v>
      </c>
      <c r="AI15" s="163">
        <f>SUM(AE15:AH15)</f>
        <v>4770.11</v>
      </c>
      <c r="AK15" s="3">
        <v>3705</v>
      </c>
      <c r="AL15" s="3">
        <v>228</v>
      </c>
      <c r="AM15" s="3">
        <v>80</v>
      </c>
      <c r="AN15" s="3">
        <v>976</v>
      </c>
      <c r="AO15" s="163">
        <f>SUM(AK15:AN15)</f>
        <v>4989</v>
      </c>
      <c r="AQ15" s="241">
        <v>3862.3595191372356</v>
      </c>
      <c r="AR15" s="241">
        <v>227.4170600178772</v>
      </c>
      <c r="AS15" s="96">
        <v>85.33514686760802</v>
      </c>
      <c r="AT15" s="241">
        <v>1062.9418945415264</v>
      </c>
      <c r="AU15" s="163">
        <f>SUM(AQ15:AT15)</f>
        <v>5238.0536205642475</v>
      </c>
      <c r="AW15" s="241">
        <v>3862.3595191372356</v>
      </c>
      <c r="AX15" s="241">
        <v>227.4170600178772</v>
      </c>
      <c r="AY15" s="96">
        <v>85.33514686760802</v>
      </c>
      <c r="AZ15" s="241">
        <v>1062.9418945415264</v>
      </c>
      <c r="BA15" s="163">
        <f>SUM(AW15:AZ15)</f>
        <v>5238.0536205642475</v>
      </c>
      <c r="BB15" s="3">
        <f>AU15-BA15</f>
        <v>0</v>
      </c>
      <c r="BD15" s="3">
        <v>4125.307262834364</v>
      </c>
      <c r="BE15" s="3">
        <v>255.49070113576775</v>
      </c>
      <c r="BF15" s="3">
        <v>109.9854054168755</v>
      </c>
      <c r="BG15" s="3">
        <v>1149.8625700315383</v>
      </c>
      <c r="BH15" s="163">
        <f>SUM(BD15:BG15)</f>
        <v>5640.645939418546</v>
      </c>
      <c r="BJ15" s="3">
        <v>4243.156916149416</v>
      </c>
      <c r="BK15" s="3">
        <v>241.67219579174355</v>
      </c>
      <c r="BL15" s="3">
        <v>104.28372065509204</v>
      </c>
      <c r="BM15" s="3">
        <v>1223.510918534796</v>
      </c>
      <c r="BN15" s="163">
        <f>SUM(BJ15:BM15)</f>
        <v>5812.623751131048</v>
      </c>
      <c r="BP15" s="269">
        <v>4346.947094460636</v>
      </c>
      <c r="BQ15" s="3">
        <v>255.2442268350671</v>
      </c>
      <c r="BR15" s="3">
        <v>107.71003382621268</v>
      </c>
      <c r="BS15" s="3">
        <v>1293.9658800541852</v>
      </c>
      <c r="BT15" s="163">
        <f>SUM(BP15:BS15)</f>
        <v>6003.8672351761015</v>
      </c>
      <c r="BV15" s="269">
        <v>4480.049639589809</v>
      </c>
      <c r="BW15" s="3">
        <v>453.9392612946766</v>
      </c>
      <c r="BX15" s="3">
        <v>132.9912320398793</v>
      </c>
      <c r="BY15" s="3">
        <v>1409.1247732092627</v>
      </c>
      <c r="BZ15" s="163">
        <f t="shared" si="0"/>
        <v>6476.104906133627</v>
      </c>
    </row>
    <row r="16" spans="1:78" ht="15.75">
      <c r="A16" s="1" t="s">
        <v>10</v>
      </c>
      <c r="B16" s="48">
        <v>3917.68</v>
      </c>
      <c r="C16" s="48">
        <v>4283.22</v>
      </c>
      <c r="D16" s="48">
        <v>4625.91</v>
      </c>
      <c r="E16" s="48">
        <v>4914.95</v>
      </c>
      <c r="F16" s="48">
        <v>5088</v>
      </c>
      <c r="G16" s="48">
        <v>5358.3672293677955</v>
      </c>
      <c r="H16" s="48">
        <v>5436.413566327585</v>
      </c>
      <c r="I16" s="48">
        <v>6032.112908138155</v>
      </c>
      <c r="J16" s="48">
        <v>6340.733652693907</v>
      </c>
      <c r="K16" s="48">
        <v>6500.9888802208</v>
      </c>
      <c r="L16" s="244">
        <f t="shared" si="1"/>
        <v>2.5273925117294125</v>
      </c>
      <c r="M16" s="250">
        <f>((K16-AC16)*100)/AC16</f>
        <v>75.01181500621333</v>
      </c>
      <c r="N16" s="49">
        <v>2005.21</v>
      </c>
      <c r="O16" s="49">
        <v>2163</v>
      </c>
      <c r="P16" s="49">
        <v>2268.79</v>
      </c>
      <c r="Q16" s="49">
        <v>2369.87</v>
      </c>
      <c r="R16" s="49">
        <v>2561.32</v>
      </c>
      <c r="S16" s="49">
        <v>2741.78</v>
      </c>
      <c r="T16" s="49">
        <v>2922.45</v>
      </c>
      <c r="U16" s="49">
        <v>3171.6</v>
      </c>
      <c r="V16" s="49">
        <v>3189.08</v>
      </c>
      <c r="W16" s="49">
        <v>3375.68</v>
      </c>
      <c r="X16" s="49">
        <v>3452.04</v>
      </c>
      <c r="Y16" s="48">
        <f>3068.11+496.65</f>
        <v>3564.76</v>
      </c>
      <c r="Z16" s="57">
        <v>3593.29</v>
      </c>
      <c r="AA16" s="57">
        <v>3392.28</v>
      </c>
      <c r="AB16" s="48">
        <v>3538.3</v>
      </c>
      <c r="AC16" s="48">
        <v>3714.6</v>
      </c>
      <c r="AD16" s="57"/>
      <c r="AE16" s="96">
        <v>3797.89</v>
      </c>
      <c r="AF16" s="96">
        <v>189.16</v>
      </c>
      <c r="AG16" s="163">
        <v>50.23</v>
      </c>
      <c r="AH16" s="163">
        <v>877.67</v>
      </c>
      <c r="AI16" s="163">
        <f>SUM(AE16:AH16)</f>
        <v>4914.95</v>
      </c>
      <c r="AK16" s="3">
        <v>3959</v>
      </c>
      <c r="AL16" s="3">
        <v>170</v>
      </c>
      <c r="AM16" s="3">
        <v>46</v>
      </c>
      <c r="AN16" s="3">
        <v>913</v>
      </c>
      <c r="AO16" s="163">
        <f>SUM(AK16:AN16)</f>
        <v>5088</v>
      </c>
      <c r="AQ16" s="241">
        <v>4152.135659296189</v>
      </c>
      <c r="AR16" s="241">
        <v>169.35747980200344</v>
      </c>
      <c r="AS16" s="96">
        <v>54.76010830695847</v>
      </c>
      <c r="AT16" s="241">
        <v>982.1139819626445</v>
      </c>
      <c r="AU16" s="163">
        <f>SUM(AQ16:AT16)</f>
        <v>5358.3672293677955</v>
      </c>
      <c r="AW16" s="241">
        <v>4152.135659296189</v>
      </c>
      <c r="AX16" s="241">
        <v>169.35747980200344</v>
      </c>
      <c r="AY16" s="96">
        <v>54.76010830695847</v>
      </c>
      <c r="AZ16" s="241">
        <v>982.1139819626445</v>
      </c>
      <c r="BA16" s="163">
        <f>SUM(AW16:AZ16)</f>
        <v>5358.3672293677955</v>
      </c>
      <c r="BB16" s="3">
        <f>AU16-BA16</f>
        <v>0</v>
      </c>
      <c r="BD16" s="3">
        <v>4187.761274656134</v>
      </c>
      <c r="BE16" s="3">
        <v>188.17963615697263</v>
      </c>
      <c r="BF16" s="3">
        <v>44.89614744311007</v>
      </c>
      <c r="BG16" s="3">
        <v>1015.5765080713679</v>
      </c>
      <c r="BH16" s="163">
        <f>SUM(BD16:BG16)</f>
        <v>5436.413566327585</v>
      </c>
      <c r="BJ16" s="3">
        <v>4583.286970846241</v>
      </c>
      <c r="BK16" s="3">
        <v>184.840291248082</v>
      </c>
      <c r="BL16" s="3">
        <v>47.06368026403405</v>
      </c>
      <c r="BM16" s="3">
        <v>1216.9219657797978</v>
      </c>
      <c r="BN16" s="163">
        <f>SUM(BJ16:BM16)</f>
        <v>6032.112908138155</v>
      </c>
      <c r="BP16" s="269">
        <v>4832.236660283372</v>
      </c>
      <c r="BQ16" s="3">
        <v>151.65488322094035</v>
      </c>
      <c r="BR16" s="3">
        <v>47.88445745905683</v>
      </c>
      <c r="BS16" s="3">
        <v>1308.9576517305386</v>
      </c>
      <c r="BT16" s="163">
        <f>SUM(BP16:BS16)</f>
        <v>6340.733652693907</v>
      </c>
      <c r="BV16" s="269">
        <v>4908.091189872519</v>
      </c>
      <c r="BW16" s="3">
        <v>153.6378976732091</v>
      </c>
      <c r="BX16" s="3">
        <v>51.94983599581569</v>
      </c>
      <c r="BY16" s="3">
        <v>1387.3099566792553</v>
      </c>
      <c r="BZ16" s="163">
        <f t="shared" si="0"/>
        <v>6500.9888802208</v>
      </c>
    </row>
    <row r="17" spans="2:78" ht="15.7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244"/>
      <c r="M17" s="250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8"/>
      <c r="Z17" s="57"/>
      <c r="AA17" s="57"/>
      <c r="AB17" s="48"/>
      <c r="AC17" s="48"/>
      <c r="AD17" s="57"/>
      <c r="AE17"/>
      <c r="AF17"/>
      <c r="AH17" s="163"/>
      <c r="AI17" s="163"/>
      <c r="AO17" s="163"/>
      <c r="AQ17" s="241"/>
      <c r="AR17" s="241"/>
      <c r="AS17" s="96"/>
      <c r="AT17" s="241"/>
      <c r="AU17" s="163"/>
      <c r="AW17" s="241"/>
      <c r="AX17" s="241"/>
      <c r="AY17" s="96"/>
      <c r="AZ17" s="241"/>
      <c r="BA17" s="163"/>
      <c r="BH17" s="163"/>
      <c r="BN17" s="163"/>
      <c r="BP17" s="270"/>
      <c r="BT17" s="163"/>
      <c r="BV17" s="270"/>
      <c r="BZ17" s="163"/>
    </row>
    <row r="18" spans="1:78" ht="15.75">
      <c r="A18" s="1" t="s">
        <v>11</v>
      </c>
      <c r="B18" s="48">
        <v>3721.11</v>
      </c>
      <c r="C18" s="48">
        <v>3992.21</v>
      </c>
      <c r="D18" s="48">
        <v>4273.05</v>
      </c>
      <c r="E18" s="48">
        <v>4585.1</v>
      </c>
      <c r="F18" s="48">
        <v>4650</v>
      </c>
      <c r="G18" s="48">
        <v>4798.27213126837</v>
      </c>
      <c r="H18" s="48">
        <v>5221.042710347493</v>
      </c>
      <c r="I18" s="48">
        <v>5708.083593384946</v>
      </c>
      <c r="J18" s="48">
        <v>5895.69929766886</v>
      </c>
      <c r="K18" s="48">
        <v>5971.6004055248095</v>
      </c>
      <c r="L18" s="244">
        <f t="shared" si="1"/>
        <v>1.2873978814686284</v>
      </c>
      <c r="M18" s="250">
        <f>((K18-AC18)*100)/AC18</f>
        <v>68.56214114001048</v>
      </c>
      <c r="N18" s="49">
        <v>1568.38</v>
      </c>
      <c r="O18" s="49">
        <v>1714.28</v>
      </c>
      <c r="P18" s="49">
        <v>1965.66</v>
      </c>
      <c r="Q18" s="49">
        <v>2177.26</v>
      </c>
      <c r="R18" s="49">
        <v>2371.1</v>
      </c>
      <c r="S18" s="49">
        <v>2532.97</v>
      </c>
      <c r="T18" s="49">
        <v>2667.89</v>
      </c>
      <c r="U18" s="49">
        <v>2753.35</v>
      </c>
      <c r="V18" s="49">
        <v>2820.28</v>
      </c>
      <c r="W18" s="49">
        <v>2960.7</v>
      </c>
      <c r="X18" s="49">
        <v>3080.34</v>
      </c>
      <c r="Y18" s="48">
        <f>2781.2+384.77</f>
        <v>3165.97</v>
      </c>
      <c r="Z18" s="57">
        <v>3342.7</v>
      </c>
      <c r="AA18" s="57">
        <v>3152</v>
      </c>
      <c r="AB18" s="48">
        <v>3384.52</v>
      </c>
      <c r="AC18" s="48">
        <v>3542.67</v>
      </c>
      <c r="AD18" s="57"/>
      <c r="AE18" s="96">
        <v>3520.3</v>
      </c>
      <c r="AF18" s="96">
        <v>221.57</v>
      </c>
      <c r="AG18" s="163">
        <v>110.54</v>
      </c>
      <c r="AH18" s="163">
        <v>732.69</v>
      </c>
      <c r="AI18" s="163">
        <f>SUM(AE18:AH18)</f>
        <v>4585.1</v>
      </c>
      <c r="AK18" s="3">
        <v>3612</v>
      </c>
      <c r="AL18" s="3">
        <v>165</v>
      </c>
      <c r="AM18" s="3">
        <v>139</v>
      </c>
      <c r="AN18" s="3">
        <v>734</v>
      </c>
      <c r="AO18" s="163">
        <f>SUM(AK18:AN18)</f>
        <v>4650</v>
      </c>
      <c r="AQ18" s="241">
        <v>3657.1127097613407</v>
      </c>
      <c r="AR18" s="241">
        <v>193.62668893050545</v>
      </c>
      <c r="AS18" s="96">
        <v>178.35095436220558</v>
      </c>
      <c r="AT18" s="241">
        <v>775.5560430639224</v>
      </c>
      <c r="AU18" s="163">
        <f>SUM(AQ18:AT18)</f>
        <v>4804.646396117974</v>
      </c>
      <c r="AW18" s="241">
        <v>3652.260863636783</v>
      </c>
      <c r="AX18" s="241">
        <v>193.36980680111665</v>
      </c>
      <c r="AY18" s="96">
        <v>178.11433836061948</v>
      </c>
      <c r="AZ18" s="241">
        <v>774.52712246985</v>
      </c>
      <c r="BA18" s="163">
        <f>SUM(AW18:AZ18)</f>
        <v>4798.27213126837</v>
      </c>
      <c r="BB18" s="3">
        <f>AU18-BA18</f>
        <v>6.374264849604515</v>
      </c>
      <c r="BD18" s="3">
        <v>3941.9973261145788</v>
      </c>
      <c r="BE18" s="3">
        <v>230.8239489530965</v>
      </c>
      <c r="BF18" s="3">
        <v>182.90938806327458</v>
      </c>
      <c r="BG18" s="3">
        <v>865.3120472165441</v>
      </c>
      <c r="BH18" s="163">
        <f>SUM(BD18:BG18)</f>
        <v>5221.042710347493</v>
      </c>
      <c r="BJ18" s="3">
        <v>4321.8343341426535</v>
      </c>
      <c r="BK18" s="3">
        <v>289.42504008429154</v>
      </c>
      <c r="BL18" s="3">
        <v>171.64862522332675</v>
      </c>
      <c r="BM18" s="3">
        <v>925.175593934674</v>
      </c>
      <c r="BN18" s="163">
        <f>SUM(BJ18:BM18)</f>
        <v>5708.083593384946</v>
      </c>
      <c r="BP18" s="269">
        <v>4568.213228481771</v>
      </c>
      <c r="BQ18" s="3">
        <v>186.84101165570834</v>
      </c>
      <c r="BR18" s="3">
        <v>165.43288628212795</v>
      </c>
      <c r="BS18" s="3">
        <v>975.2121712492531</v>
      </c>
      <c r="BT18" s="163">
        <f>SUM(BP18:BS18)</f>
        <v>5895.69929766886</v>
      </c>
      <c r="BV18" s="269">
        <v>4603.608689020137</v>
      </c>
      <c r="BW18" s="3">
        <v>158.14351485839185</v>
      </c>
      <c r="BX18" s="3">
        <v>181.1275059294052</v>
      </c>
      <c r="BY18" s="3">
        <v>1028.7206957168767</v>
      </c>
      <c r="BZ18" s="163">
        <f>SUM(BV18:BY18)</f>
        <v>5971.6004055248095</v>
      </c>
    </row>
    <row r="19" spans="1:78" ht="15.75">
      <c r="A19" s="1" t="s">
        <v>12</v>
      </c>
      <c r="B19" s="48">
        <v>3767.64</v>
      </c>
      <c r="C19" s="48">
        <v>3991.86</v>
      </c>
      <c r="D19" s="48">
        <v>4261.28</v>
      </c>
      <c r="E19" s="48">
        <v>4441.27</v>
      </c>
      <c r="F19" s="48">
        <v>4730</v>
      </c>
      <c r="G19" s="48">
        <v>4916.823693448832</v>
      </c>
      <c r="H19" s="48">
        <v>5322.50519083148</v>
      </c>
      <c r="I19" s="48">
        <v>5755.5820949494055</v>
      </c>
      <c r="J19" s="48">
        <v>5982.00375915346</v>
      </c>
      <c r="K19" s="48">
        <v>6088.810956197009</v>
      </c>
      <c r="L19" s="244">
        <f t="shared" si="1"/>
        <v>1.7854752578534534</v>
      </c>
      <c r="M19" s="250">
        <f>((K19-AC19)*100)/AC19</f>
        <v>74.56203197193298</v>
      </c>
      <c r="N19" s="49">
        <v>1771.29</v>
      </c>
      <c r="O19" s="49">
        <v>1918.92</v>
      </c>
      <c r="P19" s="49">
        <v>2109.07</v>
      </c>
      <c r="Q19" s="49">
        <v>2301.37</v>
      </c>
      <c r="R19" s="49">
        <v>2572.7</v>
      </c>
      <c r="S19" s="49">
        <v>2821.14</v>
      </c>
      <c r="T19" s="49">
        <v>3001.93</v>
      </c>
      <c r="U19" s="49">
        <v>3044.44</v>
      </c>
      <c r="V19" s="49">
        <v>3082.89</v>
      </c>
      <c r="W19" s="49">
        <v>3192.12</v>
      </c>
      <c r="X19" s="49">
        <v>3378.47</v>
      </c>
      <c r="Y19" s="48">
        <f>2910.01+441.9</f>
        <v>3351.9100000000003</v>
      </c>
      <c r="Z19" s="57">
        <v>3341.7</v>
      </c>
      <c r="AA19" s="57">
        <v>3136.44</v>
      </c>
      <c r="AB19" s="48">
        <v>3338.92</v>
      </c>
      <c r="AC19" s="48">
        <v>3488.05</v>
      </c>
      <c r="AD19" s="57"/>
      <c r="AE19" s="96">
        <v>3405.75</v>
      </c>
      <c r="AF19" s="96">
        <v>235.43</v>
      </c>
      <c r="AG19" s="163">
        <v>78.18</v>
      </c>
      <c r="AH19" s="163">
        <v>721.91</v>
      </c>
      <c r="AI19" s="163">
        <f>SUM(AE19:AH19)</f>
        <v>4441.2699999999995</v>
      </c>
      <c r="AK19" s="3">
        <v>3586</v>
      </c>
      <c r="AL19" s="3">
        <v>299</v>
      </c>
      <c r="AM19" s="3">
        <v>70</v>
      </c>
      <c r="AN19" s="3">
        <v>775</v>
      </c>
      <c r="AO19" s="163">
        <f>SUM(AK19:AN19)</f>
        <v>4730</v>
      </c>
      <c r="AQ19" s="241">
        <v>3753.621764910223</v>
      </c>
      <c r="AR19" s="241">
        <v>293.14575069627585</v>
      </c>
      <c r="AS19" s="96">
        <v>64.90923582430574</v>
      </c>
      <c r="AT19" s="241">
        <v>824.754816689496</v>
      </c>
      <c r="AU19" s="163">
        <f>SUM(AQ19:AT19)</f>
        <v>4936.431568120301</v>
      </c>
      <c r="AW19" s="241">
        <v>3738.712099068652</v>
      </c>
      <c r="AX19" s="241">
        <v>291.9813538924699</v>
      </c>
      <c r="AY19" s="96">
        <v>64.65141149442277</v>
      </c>
      <c r="AZ19" s="241">
        <v>821.4788289932875</v>
      </c>
      <c r="BA19" s="163">
        <f>SUM(AW19:AZ19)</f>
        <v>4916.823693448832</v>
      </c>
      <c r="BB19" s="3">
        <f>AU19-BA19</f>
        <v>19.60787467146838</v>
      </c>
      <c r="BD19" s="3">
        <v>4065.28165539369</v>
      </c>
      <c r="BE19" s="3">
        <v>274.34508610326503</v>
      </c>
      <c r="BF19" s="3">
        <v>60.857560574308046</v>
      </c>
      <c r="BG19" s="3">
        <v>922.0208887602171</v>
      </c>
      <c r="BH19" s="163">
        <f>SUM(BD19:BG19)</f>
        <v>5322.50519083148</v>
      </c>
      <c r="BJ19" s="3">
        <v>4450.7543547452415</v>
      </c>
      <c r="BK19" s="3">
        <v>239.74257281683234</v>
      </c>
      <c r="BL19" s="3">
        <v>63.19072794543752</v>
      </c>
      <c r="BM19" s="3">
        <v>1001.8944394418937</v>
      </c>
      <c r="BN19" s="163">
        <f>SUM(BJ19:BM19)</f>
        <v>5755.5820949494055</v>
      </c>
      <c r="BP19" s="269">
        <v>4580.967448878357</v>
      </c>
      <c r="BQ19" s="3">
        <v>305.07071342531657</v>
      </c>
      <c r="BR19" s="3">
        <v>71.24933281237902</v>
      </c>
      <c r="BS19" s="3">
        <v>1024.7162640374079</v>
      </c>
      <c r="BT19" s="163">
        <f>SUM(BP19:BS19)</f>
        <v>5982.00375915346</v>
      </c>
      <c r="BV19" s="269">
        <v>4563.232898379094</v>
      </c>
      <c r="BW19" s="3">
        <v>330.57061261706355</v>
      </c>
      <c r="BX19" s="3">
        <v>78.49607524030253</v>
      </c>
      <c r="BY19" s="3">
        <v>1116.511369960549</v>
      </c>
      <c r="BZ19" s="163">
        <f>SUM(BV19:BY19)</f>
        <v>6088.810956197009</v>
      </c>
    </row>
    <row r="20" spans="1:78" ht="15.75">
      <c r="A20" s="1" t="s">
        <v>13</v>
      </c>
      <c r="B20" s="48">
        <v>3884.3</v>
      </c>
      <c r="C20" s="48">
        <v>4072.14</v>
      </c>
      <c r="D20" s="48">
        <v>4235.71</v>
      </c>
      <c r="E20" s="48">
        <v>4396.54</v>
      </c>
      <c r="F20" s="48">
        <v>4630</v>
      </c>
      <c r="G20" s="48">
        <v>4961.683775410135</v>
      </c>
      <c r="H20" s="48">
        <v>5286.601496924206</v>
      </c>
      <c r="I20" s="48">
        <v>5648.2377925649635</v>
      </c>
      <c r="J20" s="48">
        <v>5925.292250614478</v>
      </c>
      <c r="K20" s="48">
        <v>6058.631774896585</v>
      </c>
      <c r="L20" s="244">
        <f t="shared" si="1"/>
        <v>2.2503451077586796</v>
      </c>
      <c r="M20" s="250">
        <f>((K20-AC20)*100)/AC20</f>
        <v>67.25971070501217</v>
      </c>
      <c r="N20" s="49">
        <v>1749.33</v>
      </c>
      <c r="O20" s="49">
        <v>1929.5</v>
      </c>
      <c r="P20" s="49">
        <v>2092.46</v>
      </c>
      <c r="Q20" s="49">
        <v>2369.14</v>
      </c>
      <c r="R20" s="49">
        <v>2512.44</v>
      </c>
      <c r="S20" s="49">
        <v>2767.18</v>
      </c>
      <c r="T20" s="49">
        <v>2927.76</v>
      </c>
      <c r="U20" s="49">
        <v>3044.35</v>
      </c>
      <c r="V20" s="49">
        <v>3071.87</v>
      </c>
      <c r="W20" s="49">
        <v>3173.34</v>
      </c>
      <c r="X20" s="49">
        <v>3352.2</v>
      </c>
      <c r="Y20" s="48">
        <f>2892.03+521.46</f>
        <v>3413.4900000000002</v>
      </c>
      <c r="Z20" s="57">
        <v>3501.66</v>
      </c>
      <c r="AA20" s="57">
        <v>3258.69</v>
      </c>
      <c r="AB20" s="48">
        <v>3485.08</v>
      </c>
      <c r="AC20" s="48">
        <v>3622.29</v>
      </c>
      <c r="AD20" s="57"/>
      <c r="AE20" s="96">
        <v>3270.21</v>
      </c>
      <c r="AF20" s="96">
        <v>169.21</v>
      </c>
      <c r="AG20" s="163">
        <v>77.29</v>
      </c>
      <c r="AH20" s="163">
        <v>879.83</v>
      </c>
      <c r="AI20" s="163">
        <f>SUM(AE20:AH20)</f>
        <v>4396.54</v>
      </c>
      <c r="AK20" s="3">
        <v>3431</v>
      </c>
      <c r="AL20" s="3">
        <v>175</v>
      </c>
      <c r="AM20" s="3">
        <v>83</v>
      </c>
      <c r="AN20" s="3">
        <v>941</v>
      </c>
      <c r="AO20" s="163">
        <f>SUM(AK20:AN20)</f>
        <v>4630</v>
      </c>
      <c r="AQ20" s="241">
        <v>3645.664884183279</v>
      </c>
      <c r="AR20" s="241">
        <v>180.41789452034578</v>
      </c>
      <c r="AS20" s="96">
        <v>119.16363834859578</v>
      </c>
      <c r="AT20" s="241">
        <v>1060.1941460504763</v>
      </c>
      <c r="AU20" s="163">
        <f>SUM(AQ20:AT20)</f>
        <v>5005.440563102697</v>
      </c>
      <c r="AW20" s="241">
        <v>3613.7950452901064</v>
      </c>
      <c r="AX20" s="241">
        <v>178.84070917433257</v>
      </c>
      <c r="AY20" s="96">
        <v>118.12192824173147</v>
      </c>
      <c r="AZ20" s="241">
        <v>1050.9260927039652</v>
      </c>
      <c r="BA20" s="163">
        <f>SUM(AW20:AZ20)</f>
        <v>4961.683775410135</v>
      </c>
      <c r="BB20" s="3">
        <f>AU20-BA20</f>
        <v>43.756787692561375</v>
      </c>
      <c r="BD20" s="3">
        <v>3865.966544984777</v>
      </c>
      <c r="BE20" s="3">
        <v>192.6580247670922</v>
      </c>
      <c r="BF20" s="3">
        <v>105.34827356944618</v>
      </c>
      <c r="BG20" s="3">
        <v>1122.6286536028897</v>
      </c>
      <c r="BH20" s="163">
        <f>SUM(BD20:BG20)</f>
        <v>5286.601496924206</v>
      </c>
      <c r="BJ20" s="3">
        <v>4089.468827958421</v>
      </c>
      <c r="BK20" s="3">
        <v>200.24096408149265</v>
      </c>
      <c r="BL20" s="3">
        <v>106.0120273235956</v>
      </c>
      <c r="BM20" s="3">
        <v>1252.5159732014542</v>
      </c>
      <c r="BN20" s="163">
        <f>SUM(BJ20:BM20)</f>
        <v>5648.2377925649635</v>
      </c>
      <c r="BP20" s="269">
        <v>4251.467909553913</v>
      </c>
      <c r="BQ20" s="3">
        <v>210.48787931378098</v>
      </c>
      <c r="BR20" s="3">
        <v>102.10495299431578</v>
      </c>
      <c r="BS20" s="3">
        <v>1361.2315087524678</v>
      </c>
      <c r="BT20" s="163">
        <f>SUM(BP20:BS20)</f>
        <v>5925.292250614478</v>
      </c>
      <c r="BV20" s="269">
        <v>4363.28967801285</v>
      </c>
      <c r="BW20" s="3">
        <v>176.27054978493706</v>
      </c>
      <c r="BX20" s="3">
        <v>127.95461993707842</v>
      </c>
      <c r="BY20" s="3">
        <v>1391.1169271617186</v>
      </c>
      <c r="BZ20" s="163">
        <f>SUM(BV20:BY20)</f>
        <v>6058.631774896585</v>
      </c>
    </row>
    <row r="21" spans="1:78" ht="15.75">
      <c r="A21" s="1" t="s">
        <v>14</v>
      </c>
      <c r="B21" s="48">
        <v>3852.68</v>
      </c>
      <c r="C21" s="48">
        <v>4095.48</v>
      </c>
      <c r="D21" s="48">
        <v>4282.12</v>
      </c>
      <c r="E21" s="48">
        <v>4366.41</v>
      </c>
      <c r="F21" s="48">
        <v>4678</v>
      </c>
      <c r="G21" s="48">
        <v>5018.284928072574</v>
      </c>
      <c r="H21" s="48">
        <v>5480.976222427787</v>
      </c>
      <c r="I21" s="48">
        <v>5952.936063952971</v>
      </c>
      <c r="J21" s="48">
        <v>6168.2059006006875</v>
      </c>
      <c r="K21" s="48">
        <v>6270.427900728802</v>
      </c>
      <c r="L21" s="244">
        <f t="shared" si="1"/>
        <v>1.6572403998083134</v>
      </c>
      <c r="M21" s="250">
        <f>((K21-AC21)*100)/AC21</f>
        <v>73.75382123500339</v>
      </c>
      <c r="N21" s="49">
        <v>1781.39</v>
      </c>
      <c r="O21" s="49">
        <v>1907.19</v>
      </c>
      <c r="P21" s="49">
        <v>2120.71</v>
      </c>
      <c r="Q21" s="49">
        <v>2345.07</v>
      </c>
      <c r="R21" s="49">
        <v>2541.49</v>
      </c>
      <c r="S21" s="49">
        <v>2842.3</v>
      </c>
      <c r="T21" s="49">
        <v>2997.57</v>
      </c>
      <c r="U21" s="49">
        <v>3064.19</v>
      </c>
      <c r="V21" s="49">
        <v>3214.35</v>
      </c>
      <c r="W21" s="49">
        <v>3352.95</v>
      </c>
      <c r="X21" s="49">
        <v>3433.5</v>
      </c>
      <c r="Y21" s="48">
        <f>2897.15+494.29</f>
        <v>3391.44</v>
      </c>
      <c r="Z21" s="57">
        <v>3546.04</v>
      </c>
      <c r="AA21" s="57">
        <v>3247.98</v>
      </c>
      <c r="AB21" s="48">
        <v>3390.25</v>
      </c>
      <c r="AC21" s="48">
        <v>3608.8</v>
      </c>
      <c r="AD21" s="57"/>
      <c r="AE21" s="96">
        <v>3367.28</v>
      </c>
      <c r="AF21" s="96">
        <v>236.39</v>
      </c>
      <c r="AG21" s="163">
        <v>47</v>
      </c>
      <c r="AH21" s="163">
        <v>715.74</v>
      </c>
      <c r="AI21" s="163">
        <f>SUM(AE21:AH21)</f>
        <v>4366.41</v>
      </c>
      <c r="AK21" s="3">
        <v>3532</v>
      </c>
      <c r="AL21" s="3">
        <v>320</v>
      </c>
      <c r="AM21" s="3">
        <v>50</v>
      </c>
      <c r="AN21" s="3">
        <v>776</v>
      </c>
      <c r="AO21" s="163">
        <f>SUM(AK21:AN21)</f>
        <v>4678</v>
      </c>
      <c r="AQ21" s="241">
        <v>3755.6921056614656</v>
      </c>
      <c r="AR21" s="241">
        <v>338.5394531041652</v>
      </c>
      <c r="AS21" s="96">
        <v>51.395430979737874</v>
      </c>
      <c r="AT21" s="241">
        <v>820.4570545652784</v>
      </c>
      <c r="AU21" s="163">
        <f>SUM(AQ21:AT21)</f>
        <v>4966.084044310647</v>
      </c>
      <c r="AW21" s="241">
        <v>3795.1699810465634</v>
      </c>
      <c r="AX21" s="241">
        <v>342.09800315741336</v>
      </c>
      <c r="AY21" s="96">
        <v>51.935672927825934</v>
      </c>
      <c r="AZ21" s="241">
        <v>829.0812709407708</v>
      </c>
      <c r="BA21" s="163">
        <f>SUM(AW21:AZ21)</f>
        <v>5018.284928072574</v>
      </c>
      <c r="BB21" s="3">
        <f>AU21-BA21</f>
        <v>-52.20088376192689</v>
      </c>
      <c r="BD21" s="3">
        <v>4103.318265402186</v>
      </c>
      <c r="BE21" s="3">
        <v>406.94152617585536</v>
      </c>
      <c r="BF21" s="3">
        <v>73.32007754096556</v>
      </c>
      <c r="BG21" s="3">
        <v>897.3963533087804</v>
      </c>
      <c r="BH21" s="163">
        <f>SUM(BD21:BG21)</f>
        <v>5480.976222427787</v>
      </c>
      <c r="BJ21" s="3">
        <v>4514.271228389291</v>
      </c>
      <c r="BK21" s="3">
        <v>357.917010514821</v>
      </c>
      <c r="BL21" s="3">
        <v>72.67395402620271</v>
      </c>
      <c r="BM21" s="3">
        <v>1008.0738710226566</v>
      </c>
      <c r="BN21" s="163">
        <f>SUM(BJ21:BM21)</f>
        <v>5952.936063952971</v>
      </c>
      <c r="BP21" s="269">
        <v>4707.762594653999</v>
      </c>
      <c r="BQ21" s="3">
        <v>289.02910384018605</v>
      </c>
      <c r="BR21" s="3">
        <v>73.39844890766626</v>
      </c>
      <c r="BS21" s="3">
        <v>1098.015753198835</v>
      </c>
      <c r="BT21" s="163">
        <f>SUM(BP21:BS21)</f>
        <v>6168.2059006006875</v>
      </c>
      <c r="BV21" s="269">
        <v>4773.021629002261</v>
      </c>
      <c r="BW21" s="3">
        <v>231.40786674543426</v>
      </c>
      <c r="BX21" s="3">
        <v>88.54304568270246</v>
      </c>
      <c r="BY21" s="3">
        <v>1177.4553592984048</v>
      </c>
      <c r="BZ21" s="163">
        <f>SUM(BV21:BY21)</f>
        <v>6270.427900728802</v>
      </c>
    </row>
    <row r="22" spans="1:78" ht="15.75">
      <c r="A22" s="1" t="s">
        <v>15</v>
      </c>
      <c r="B22" s="48">
        <v>4456.37</v>
      </c>
      <c r="C22" s="48">
        <v>4382.88</v>
      </c>
      <c r="D22" s="48">
        <v>4720.93</v>
      </c>
      <c r="E22" s="48">
        <v>4913.81</v>
      </c>
      <c r="F22" s="48">
        <v>5076</v>
      </c>
      <c r="G22" s="48">
        <v>5452.134576846684</v>
      </c>
      <c r="H22" s="48">
        <v>5816.0766720466945</v>
      </c>
      <c r="I22" s="48">
        <v>6444.475486675488</v>
      </c>
      <c r="J22" s="48">
        <v>6533.049875824077</v>
      </c>
      <c r="K22" s="48">
        <v>6269.804760001776</v>
      </c>
      <c r="L22" s="244">
        <f t="shared" si="1"/>
        <v>-4.0294367994411715</v>
      </c>
      <c r="M22" s="250">
        <f>((K22-AC22)*100)/AC22</f>
        <v>53.69805505850945</v>
      </c>
      <c r="N22" s="49">
        <v>1868.13</v>
      </c>
      <c r="O22" s="49">
        <v>2061.31</v>
      </c>
      <c r="P22" s="49">
        <v>2182.19</v>
      </c>
      <c r="Q22" s="49">
        <v>2394.86</v>
      </c>
      <c r="R22" s="49">
        <v>2629.27</v>
      </c>
      <c r="S22" s="49">
        <v>2934.52</v>
      </c>
      <c r="T22" s="49">
        <v>3093.08</v>
      </c>
      <c r="U22" s="49">
        <v>3057.72</v>
      </c>
      <c r="V22" s="49">
        <v>3137.47</v>
      </c>
      <c r="W22" s="49">
        <v>3282.11</v>
      </c>
      <c r="X22" s="49">
        <v>3532.64</v>
      </c>
      <c r="Y22" s="48">
        <f>3042.02+502.85</f>
        <v>3544.87</v>
      </c>
      <c r="Z22" s="57">
        <v>3782.27</v>
      </c>
      <c r="AA22" s="57">
        <v>3668.21</v>
      </c>
      <c r="AB22" s="48">
        <v>3767.53</v>
      </c>
      <c r="AC22" s="48">
        <v>4079.3</v>
      </c>
      <c r="AD22" s="57"/>
      <c r="AE22" s="96">
        <v>3612.77</v>
      </c>
      <c r="AF22" s="96">
        <v>303.17</v>
      </c>
      <c r="AG22" s="163">
        <v>199.19</v>
      </c>
      <c r="AH22" s="163">
        <v>798.68</v>
      </c>
      <c r="AI22" s="163">
        <f>SUM(AE22:AH22)</f>
        <v>4913.81</v>
      </c>
      <c r="AK22" s="3">
        <v>3777</v>
      </c>
      <c r="AL22" s="3">
        <v>306</v>
      </c>
      <c r="AM22" s="3">
        <v>145</v>
      </c>
      <c r="AN22" s="3">
        <v>848</v>
      </c>
      <c r="AO22" s="163">
        <f>SUM(AK22:AN22)</f>
        <v>5076</v>
      </c>
      <c r="AQ22" s="241">
        <v>4346.706644781125</v>
      </c>
      <c r="AR22" s="241">
        <v>292.91647201917743</v>
      </c>
      <c r="AS22" s="96">
        <v>190.28816173257917</v>
      </c>
      <c r="AT22" s="241">
        <v>972.337345157824</v>
      </c>
      <c r="AU22" s="163">
        <f>SUM(AQ22:AT22)</f>
        <v>5802.248623690705</v>
      </c>
      <c r="AW22" s="241">
        <v>4084.4215976298524</v>
      </c>
      <c r="AX22" s="241">
        <v>275.2415707770664</v>
      </c>
      <c r="AY22" s="96">
        <v>178.805965313301</v>
      </c>
      <c r="AZ22" s="241">
        <v>913.6654431264633</v>
      </c>
      <c r="BA22" s="163">
        <f>SUM(AW22:AZ22)</f>
        <v>5452.134576846684</v>
      </c>
      <c r="BB22" s="3">
        <f>AU22-BA22</f>
        <v>350.1140468440217</v>
      </c>
      <c r="BD22" s="3">
        <v>4260.417077538746</v>
      </c>
      <c r="BE22" s="3">
        <v>328.76081496385063</v>
      </c>
      <c r="BF22" s="3">
        <v>180.10819164695218</v>
      </c>
      <c r="BG22" s="3">
        <v>1046.7905878971458</v>
      </c>
      <c r="BH22" s="163">
        <f>SUM(BD22:BG22)</f>
        <v>5816.0766720466945</v>
      </c>
      <c r="BJ22" s="3">
        <v>4791.91770709418</v>
      </c>
      <c r="BK22" s="3">
        <v>329.43573882397413</v>
      </c>
      <c r="BL22" s="3">
        <v>176.1737890090831</v>
      </c>
      <c r="BM22" s="3">
        <v>1146.9482517482516</v>
      </c>
      <c r="BN22" s="163">
        <f>SUM(BJ22:BM22)</f>
        <v>6444.475486675488</v>
      </c>
      <c r="BP22" s="269">
        <v>4953.247557120925</v>
      </c>
      <c r="BQ22" s="3">
        <v>267.6834146121196</v>
      </c>
      <c r="BR22" s="3">
        <v>169.9734692495259</v>
      </c>
      <c r="BS22" s="3">
        <v>1142.1454348415064</v>
      </c>
      <c r="BT22" s="163">
        <f>SUM(BP22:BS22)</f>
        <v>6533.049875824077</v>
      </c>
      <c r="BV22" s="269">
        <v>4741.5368633719645</v>
      </c>
      <c r="BW22" s="3">
        <v>238.85296834065986</v>
      </c>
      <c r="BX22" s="3">
        <v>161.11068114204517</v>
      </c>
      <c r="BY22" s="3">
        <v>1128.304247147107</v>
      </c>
      <c r="BZ22" s="163">
        <f>SUM(BV22:BY22)</f>
        <v>6269.804760001776</v>
      </c>
    </row>
    <row r="23" spans="2:78" ht="15.7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244"/>
      <c r="M23" s="250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8"/>
      <c r="Z23" s="57"/>
      <c r="AA23" s="57"/>
      <c r="AB23" s="48"/>
      <c r="AC23" s="48"/>
      <c r="AD23" s="57"/>
      <c r="AE23" s="96"/>
      <c r="AF23" s="96"/>
      <c r="AH23" s="163"/>
      <c r="AI23" s="163"/>
      <c r="AO23" s="163"/>
      <c r="AQ23" s="241"/>
      <c r="AR23" s="241"/>
      <c r="AS23" s="96"/>
      <c r="AT23" s="241"/>
      <c r="AU23" s="163"/>
      <c r="AW23" s="241"/>
      <c r="AX23" s="241"/>
      <c r="AY23" s="96"/>
      <c r="AZ23" s="241"/>
      <c r="BA23" s="163"/>
      <c r="BH23" s="163"/>
      <c r="BN23" s="163"/>
      <c r="BP23" s="269"/>
      <c r="BT23" s="163"/>
      <c r="BV23" s="269"/>
      <c r="BZ23" s="163"/>
    </row>
    <row r="24" spans="1:78" ht="15.75">
      <c r="A24" s="1" t="s">
        <v>16</v>
      </c>
      <c r="B24" s="48">
        <v>3889.25</v>
      </c>
      <c r="C24" s="48">
        <v>4161.26</v>
      </c>
      <c r="D24" s="48">
        <v>4338.91</v>
      </c>
      <c r="E24" s="48">
        <v>4581.21</v>
      </c>
      <c r="F24" s="48">
        <v>4688</v>
      </c>
      <c r="G24" s="48">
        <v>4964.219418377818</v>
      </c>
      <c r="H24" s="48">
        <v>5336.256075904082</v>
      </c>
      <c r="I24" s="48">
        <v>5931.310119615637</v>
      </c>
      <c r="J24" s="48">
        <v>6104.999341600982</v>
      </c>
      <c r="K24" s="48">
        <v>6096.9224667088765</v>
      </c>
      <c r="L24" s="244">
        <f t="shared" si="1"/>
        <v>-0.13229935729996967</v>
      </c>
      <c r="M24" s="250">
        <f>((K24-AC24)*100)/AC24</f>
        <v>67.19609020830194</v>
      </c>
      <c r="N24" s="49">
        <v>1853.06</v>
      </c>
      <c r="O24" s="49">
        <v>1946.8</v>
      </c>
      <c r="P24" s="49">
        <v>2105.61</v>
      </c>
      <c r="Q24" s="49">
        <v>2312.21</v>
      </c>
      <c r="R24" s="49">
        <v>2586.28</v>
      </c>
      <c r="S24" s="49">
        <v>2867.38</v>
      </c>
      <c r="T24" s="49">
        <v>3107.75</v>
      </c>
      <c r="U24" s="49">
        <v>3140.46</v>
      </c>
      <c r="V24" s="49">
        <v>3179.21</v>
      </c>
      <c r="W24" s="49">
        <v>3276.66</v>
      </c>
      <c r="X24" s="49">
        <v>3468.41</v>
      </c>
      <c r="Y24" s="48">
        <f>3020.1+431.55</f>
        <v>3451.65</v>
      </c>
      <c r="Z24" s="57">
        <v>3454.18</v>
      </c>
      <c r="AA24" s="57">
        <v>3317.06</v>
      </c>
      <c r="AB24" s="48">
        <v>3511.87</v>
      </c>
      <c r="AC24" s="48">
        <v>3646.57</v>
      </c>
      <c r="AD24" s="57"/>
      <c r="AE24" s="96">
        <v>3593.25</v>
      </c>
      <c r="AF24" s="96">
        <v>255.71</v>
      </c>
      <c r="AG24" s="163">
        <v>55.05</v>
      </c>
      <c r="AH24" s="163">
        <v>677.2</v>
      </c>
      <c r="AI24" s="163">
        <f>SUM(AE24:AH24)</f>
        <v>4581.21</v>
      </c>
      <c r="AK24" s="3">
        <v>3736</v>
      </c>
      <c r="AL24" s="3">
        <v>184</v>
      </c>
      <c r="AM24" s="3">
        <v>52</v>
      </c>
      <c r="AN24" s="3">
        <v>716</v>
      </c>
      <c r="AO24" s="163">
        <f>SUM(AK24:AN24)</f>
        <v>4688</v>
      </c>
      <c r="AQ24" s="241">
        <v>3896.760797010088</v>
      </c>
      <c r="AR24" s="241">
        <v>247.82242859200397</v>
      </c>
      <c r="AS24" s="96">
        <v>52.047827447438735</v>
      </c>
      <c r="AT24" s="241">
        <v>777.7553166762183</v>
      </c>
      <c r="AU24" s="163">
        <f>SUM(AQ24:AT24)</f>
        <v>4974.386369725749</v>
      </c>
      <c r="AW24" s="241">
        <v>3888.79636190331</v>
      </c>
      <c r="AX24" s="241">
        <v>247.31591414235143</v>
      </c>
      <c r="AY24" s="96">
        <v>51.94144895367232</v>
      </c>
      <c r="AZ24" s="241">
        <v>776.1656933784853</v>
      </c>
      <c r="BA24" s="163">
        <f>SUM(AW24:AZ24)</f>
        <v>4964.219418377818</v>
      </c>
      <c r="BB24" s="3">
        <f>AU24-BA24</f>
        <v>10.16695134793099</v>
      </c>
      <c r="BD24" s="3">
        <v>4170.768433361621</v>
      </c>
      <c r="BE24" s="3">
        <v>260.5769090919577</v>
      </c>
      <c r="BF24" s="3">
        <v>46.69877840976086</v>
      </c>
      <c r="BG24" s="3">
        <v>858.211955040742</v>
      </c>
      <c r="BH24" s="163">
        <f>SUM(BD24:BG24)</f>
        <v>5336.256075904082</v>
      </c>
      <c r="BJ24" s="3">
        <v>4623.375397251303</v>
      </c>
      <c r="BK24" s="3">
        <v>279.7530721982224</v>
      </c>
      <c r="BL24" s="3">
        <v>57.208101611203034</v>
      </c>
      <c r="BM24" s="3">
        <v>970.9735485549082</v>
      </c>
      <c r="BN24" s="163">
        <f>SUM(BJ24:BM24)</f>
        <v>5931.310119615637</v>
      </c>
      <c r="BP24" s="269">
        <v>4789.67112107601</v>
      </c>
      <c r="BQ24" s="3">
        <v>250.42967614358437</v>
      </c>
      <c r="BR24" s="3">
        <v>34.4636831894776</v>
      </c>
      <c r="BS24" s="3">
        <v>1030.4348611919095</v>
      </c>
      <c r="BT24" s="163">
        <f>SUM(BP24:BS24)</f>
        <v>6104.999341600982</v>
      </c>
      <c r="BV24" s="269">
        <v>4708.311575738237</v>
      </c>
      <c r="BW24" s="3">
        <v>250.7894939151157</v>
      </c>
      <c r="BX24" s="3">
        <v>40.072040692196076</v>
      </c>
      <c r="BY24" s="3">
        <v>1097.749356363328</v>
      </c>
      <c r="BZ24" s="163">
        <f>SUM(BV24:BY24)</f>
        <v>6096.9224667088765</v>
      </c>
    </row>
    <row r="25" spans="1:78" ht="15.75">
      <c r="A25" s="1" t="s">
        <v>17</v>
      </c>
      <c r="B25" s="48">
        <v>4059.82</v>
      </c>
      <c r="C25" s="48">
        <v>4369.6</v>
      </c>
      <c r="D25" s="48">
        <v>4490.06</v>
      </c>
      <c r="E25" s="48">
        <v>4642.62</v>
      </c>
      <c r="F25" s="48">
        <v>4822</v>
      </c>
      <c r="G25" s="48">
        <v>5080.3976697693415</v>
      </c>
      <c r="H25" s="48">
        <v>5575.052604268864</v>
      </c>
      <c r="I25" s="48">
        <v>6042.164383927379</v>
      </c>
      <c r="J25" s="48">
        <v>6219.041374458137</v>
      </c>
      <c r="K25" s="48">
        <v>6438.880367983997</v>
      </c>
      <c r="L25" s="244">
        <f t="shared" si="1"/>
        <v>3.534933766942718</v>
      </c>
      <c r="M25" s="250">
        <f>((K25-AC25)*100)/AC25</f>
        <v>72.45861526963388</v>
      </c>
      <c r="N25" s="49">
        <v>1536.75</v>
      </c>
      <c r="O25" s="49">
        <v>1797.12</v>
      </c>
      <c r="P25" s="49">
        <v>2021.39</v>
      </c>
      <c r="Q25" s="49">
        <v>2186.57</v>
      </c>
      <c r="R25" s="49">
        <v>2428.68</v>
      </c>
      <c r="S25" s="49">
        <v>2598.25</v>
      </c>
      <c r="T25" s="49">
        <v>2791.29</v>
      </c>
      <c r="U25" s="49">
        <v>2872.83</v>
      </c>
      <c r="V25" s="49">
        <v>2981.22</v>
      </c>
      <c r="W25" s="49">
        <v>3072.97</v>
      </c>
      <c r="X25" s="49">
        <v>3254.81</v>
      </c>
      <c r="Y25" s="48">
        <f>2934.34+424.37</f>
        <v>3358.71</v>
      </c>
      <c r="Z25" s="57">
        <v>3558.03</v>
      </c>
      <c r="AA25" s="57">
        <v>3433.41</v>
      </c>
      <c r="AB25" s="48">
        <v>3581.33</v>
      </c>
      <c r="AC25" s="48">
        <v>3733.58</v>
      </c>
      <c r="AD25" s="57"/>
      <c r="AE25" s="96">
        <v>3689.68</v>
      </c>
      <c r="AF25" s="96">
        <v>224.34</v>
      </c>
      <c r="AG25" s="163">
        <v>80.26</v>
      </c>
      <c r="AH25" s="163">
        <v>648.34</v>
      </c>
      <c r="AI25" s="163">
        <f>SUM(AE25:AH25)</f>
        <v>4642.62</v>
      </c>
      <c r="AK25" s="3">
        <v>3878</v>
      </c>
      <c r="AL25" s="3">
        <v>187</v>
      </c>
      <c r="AM25" s="3">
        <v>61</v>
      </c>
      <c r="AN25" s="3">
        <v>696</v>
      </c>
      <c r="AO25" s="163">
        <f>SUM(AK25:AN25)</f>
        <v>4822</v>
      </c>
      <c r="AQ25" s="241">
        <v>4039.279436359337</v>
      </c>
      <c r="AR25" s="241">
        <v>217.29028783937747</v>
      </c>
      <c r="AS25" s="96">
        <v>81.3556374814592</v>
      </c>
      <c r="AT25" s="241">
        <v>742.472308089168</v>
      </c>
      <c r="AU25" s="163">
        <f>SUM(AQ25:AT25)</f>
        <v>5080.3976697693415</v>
      </c>
      <c r="AW25" s="241">
        <v>4039.279436359337</v>
      </c>
      <c r="AX25" s="241">
        <v>217.29028783937747</v>
      </c>
      <c r="AY25" s="96">
        <v>81.3556374814592</v>
      </c>
      <c r="AZ25" s="241">
        <v>742.472308089168</v>
      </c>
      <c r="BA25" s="163">
        <f>SUM(AW25:AZ25)</f>
        <v>5080.3976697693415</v>
      </c>
      <c r="BB25" s="3">
        <f>AU25-BA25</f>
        <v>0</v>
      </c>
      <c r="BD25" s="3">
        <v>4424.820799267448</v>
      </c>
      <c r="BE25" s="3">
        <v>244.36859615845816</v>
      </c>
      <c r="BF25" s="3">
        <v>105.42393441908126</v>
      </c>
      <c r="BG25" s="3">
        <v>800.4392744238777</v>
      </c>
      <c r="BH25" s="163">
        <f>SUM(BD25:BG25)</f>
        <v>5575.052604268864</v>
      </c>
      <c r="BJ25" s="3">
        <v>4774.016817959328</v>
      </c>
      <c r="BK25" s="3">
        <v>309.3564811106661</v>
      </c>
      <c r="BL25" s="3">
        <v>94.7940862368175</v>
      </c>
      <c r="BM25" s="3">
        <v>863.9969986205668</v>
      </c>
      <c r="BN25" s="163">
        <f>SUM(BJ25:BM25)</f>
        <v>6042.164383927379</v>
      </c>
      <c r="BP25" s="269">
        <v>5026.858857039105</v>
      </c>
      <c r="BQ25" s="3">
        <v>167.907818705885</v>
      </c>
      <c r="BR25" s="3">
        <v>117.22119334558904</v>
      </c>
      <c r="BS25" s="3">
        <v>907.0535053675584</v>
      </c>
      <c r="BT25" s="163">
        <f>SUM(BP25:BS25)</f>
        <v>6219.041374458137</v>
      </c>
      <c r="BV25" s="269">
        <v>5216.416524388825</v>
      </c>
      <c r="BW25" s="3">
        <v>168.53273243236953</v>
      </c>
      <c r="BX25" s="3">
        <v>116.86340862040889</v>
      </c>
      <c r="BY25" s="3">
        <v>937.0677025423927</v>
      </c>
      <c r="BZ25" s="163">
        <f>SUM(BV25:BY25)</f>
        <v>6438.880367983997</v>
      </c>
    </row>
    <row r="26" spans="1:78" ht="15.75">
      <c r="A26" s="1" t="s">
        <v>18</v>
      </c>
      <c r="B26" s="48">
        <v>3781</v>
      </c>
      <c r="C26" s="48">
        <v>4084.61</v>
      </c>
      <c r="D26" s="48">
        <v>4008.7</v>
      </c>
      <c r="E26" s="48">
        <v>4082.57</v>
      </c>
      <c r="F26" s="48">
        <v>4304</v>
      </c>
      <c r="G26" s="48">
        <v>4804.657989892657</v>
      </c>
      <c r="H26" s="48">
        <v>5416.167565056457</v>
      </c>
      <c r="I26" s="48">
        <v>5712.129534558249</v>
      </c>
      <c r="J26" s="48">
        <v>5834.144186788639</v>
      </c>
      <c r="K26" s="48">
        <v>5889.9754611790195</v>
      </c>
      <c r="L26" s="244">
        <f t="shared" si="1"/>
        <v>0.9569745382160776</v>
      </c>
      <c r="M26" s="250">
        <f>((K26-AC26)*100)/AC26</f>
        <v>65.20419102000744</v>
      </c>
      <c r="N26" s="49">
        <v>1807.13</v>
      </c>
      <c r="O26" s="49">
        <v>1978.66</v>
      </c>
      <c r="P26" s="49">
        <v>2149.69</v>
      </c>
      <c r="Q26" s="49">
        <v>2283.76</v>
      </c>
      <c r="R26" s="49">
        <v>2529.73</v>
      </c>
      <c r="S26" s="49">
        <v>2699.94</v>
      </c>
      <c r="T26" s="49">
        <v>2879.32</v>
      </c>
      <c r="U26" s="49">
        <v>2949.31</v>
      </c>
      <c r="V26" s="49">
        <v>3056.3</v>
      </c>
      <c r="W26" s="49">
        <v>3185.84</v>
      </c>
      <c r="X26" s="49">
        <v>3378.61</v>
      </c>
      <c r="Y26" s="48">
        <f>2992.77+428.76</f>
        <v>3421.5299999999997</v>
      </c>
      <c r="Z26" s="57">
        <v>3474.71</v>
      </c>
      <c r="AA26" s="57">
        <v>3334.61</v>
      </c>
      <c r="AB26" s="48">
        <v>3429.73</v>
      </c>
      <c r="AC26" s="48">
        <v>3565.27</v>
      </c>
      <c r="AD26" s="57"/>
      <c r="AE26" s="96">
        <v>3208.27</v>
      </c>
      <c r="AF26" s="96">
        <v>171.85</v>
      </c>
      <c r="AG26" s="163">
        <v>62.87</v>
      </c>
      <c r="AH26" s="163">
        <v>639.58</v>
      </c>
      <c r="AI26" s="163">
        <f>SUM(AE26:AH26)</f>
        <v>4082.5699999999997</v>
      </c>
      <c r="AK26" s="3">
        <v>3385</v>
      </c>
      <c r="AL26" s="3">
        <v>169</v>
      </c>
      <c r="AM26" s="3">
        <v>58</v>
      </c>
      <c r="AN26" s="3">
        <v>692</v>
      </c>
      <c r="AO26" s="163">
        <f>SUM(AK26:AN26)</f>
        <v>4304</v>
      </c>
      <c r="AQ26" s="241">
        <v>3719.395521612478</v>
      </c>
      <c r="AR26" s="241">
        <v>233.18525454201134</v>
      </c>
      <c r="AS26" s="96">
        <v>48.2018876243717</v>
      </c>
      <c r="AT26" s="241">
        <v>803.8753261137953</v>
      </c>
      <c r="AU26" s="163">
        <f>SUM(AQ26:AT26)</f>
        <v>4804.657989892657</v>
      </c>
      <c r="AW26" s="241">
        <v>3719.395521612478</v>
      </c>
      <c r="AX26" s="241">
        <v>233.18525454201134</v>
      </c>
      <c r="AY26" s="96">
        <v>48.2018876243717</v>
      </c>
      <c r="AZ26" s="241">
        <v>803.8753261137953</v>
      </c>
      <c r="BA26" s="163">
        <f>SUM(AW26:AZ26)</f>
        <v>4804.657989892657</v>
      </c>
      <c r="BB26" s="3">
        <f>AU26-BA26</f>
        <v>0</v>
      </c>
      <c r="BD26" s="3">
        <v>4178.546689110865</v>
      </c>
      <c r="BE26" s="3">
        <v>276.3303166096055</v>
      </c>
      <c r="BF26" s="3">
        <v>49.01195756386447</v>
      </c>
      <c r="BG26" s="3">
        <v>912.278601772121</v>
      </c>
      <c r="BH26" s="163">
        <f>SUM(BD26:BG26)</f>
        <v>5416.167565056457</v>
      </c>
      <c r="BJ26" s="3">
        <v>4427.237655971137</v>
      </c>
      <c r="BK26" s="3">
        <v>263.09596985221424</v>
      </c>
      <c r="BL26" s="3">
        <v>44.092375229510935</v>
      </c>
      <c r="BM26" s="3">
        <v>977.7035335053861</v>
      </c>
      <c r="BN26" s="163">
        <f>SUM(BJ26:BM26)</f>
        <v>5712.129534558249</v>
      </c>
      <c r="BP26" s="269">
        <v>4492.698671651433</v>
      </c>
      <c r="BQ26" s="3">
        <v>228.98046964386248</v>
      </c>
      <c r="BR26" s="3">
        <v>74.07787443473839</v>
      </c>
      <c r="BS26" s="3">
        <v>1038.3871710586054</v>
      </c>
      <c r="BT26" s="163">
        <f>SUM(BP26:BS26)</f>
        <v>5834.144186788639</v>
      </c>
      <c r="BV26" s="269">
        <v>4417.737472318886</v>
      </c>
      <c r="BW26" s="3">
        <v>212.4350288609643</v>
      </c>
      <c r="BX26" s="3">
        <v>75.5461871372931</v>
      </c>
      <c r="BY26" s="3">
        <v>1184.256772861877</v>
      </c>
      <c r="BZ26" s="163">
        <f>SUM(BV26:BY26)</f>
        <v>5889.9754611790195</v>
      </c>
    </row>
    <row r="27" spans="1:78" ht="15.75">
      <c r="A27" s="1" t="s">
        <v>19</v>
      </c>
      <c r="B27" s="48">
        <v>4714.94</v>
      </c>
      <c r="C27" s="48">
        <v>5059.77</v>
      </c>
      <c r="D27" s="48">
        <v>5074.37</v>
      </c>
      <c r="E27" s="48">
        <v>5687.55</v>
      </c>
      <c r="F27" s="48">
        <v>6078</v>
      </c>
      <c r="G27" s="48">
        <v>6307.163089241841</v>
      </c>
      <c r="H27" s="48">
        <v>6573.7740880072915</v>
      </c>
      <c r="I27" s="48">
        <v>7192.973400356986</v>
      </c>
      <c r="J27" s="48">
        <v>7752.9179657651475</v>
      </c>
      <c r="K27" s="48">
        <v>7734.519812663621</v>
      </c>
      <c r="L27" s="244">
        <f t="shared" si="1"/>
        <v>-0.23730617533640233</v>
      </c>
      <c r="M27" s="250">
        <f>((K27-AC27)*100)/AC27</f>
        <v>79.7049684518303</v>
      </c>
      <c r="N27" s="49">
        <v>2200.37</v>
      </c>
      <c r="O27" s="49">
        <v>2439.84</v>
      </c>
      <c r="P27" s="49">
        <v>2706.88</v>
      </c>
      <c r="Q27" s="49">
        <v>2934.34</v>
      </c>
      <c r="R27" s="49">
        <v>3205.34</v>
      </c>
      <c r="S27" s="49">
        <v>3501.33</v>
      </c>
      <c r="T27" s="49">
        <v>3806.22</v>
      </c>
      <c r="U27" s="49">
        <v>3691.79</v>
      </c>
      <c r="V27" s="49">
        <v>3637.54</v>
      </c>
      <c r="W27" s="49">
        <v>3745.61</v>
      </c>
      <c r="X27" s="49">
        <v>3931.89</v>
      </c>
      <c r="Y27" s="48">
        <f>3445.87+615.57</f>
        <v>4061.44</v>
      </c>
      <c r="Z27" s="57">
        <v>4064.03</v>
      </c>
      <c r="AA27" s="57">
        <v>3802.87</v>
      </c>
      <c r="AB27" s="48">
        <v>3974.61</v>
      </c>
      <c r="AC27" s="48">
        <v>4304.01</v>
      </c>
      <c r="AD27" s="57"/>
      <c r="AE27" s="96">
        <v>4160.23</v>
      </c>
      <c r="AF27" s="96">
        <v>232.26</v>
      </c>
      <c r="AG27" s="163">
        <v>60.47</v>
      </c>
      <c r="AH27" s="163">
        <v>1234.59</v>
      </c>
      <c r="AI27" s="163">
        <f>SUM(AE27:AH27)</f>
        <v>5687.55</v>
      </c>
      <c r="AK27" s="3">
        <v>4385</v>
      </c>
      <c r="AL27" s="3">
        <v>194</v>
      </c>
      <c r="AM27" s="3">
        <v>68</v>
      </c>
      <c r="AN27" s="3">
        <v>1431</v>
      </c>
      <c r="AO27" s="163">
        <f>SUM(AK27:AN27)</f>
        <v>6078</v>
      </c>
      <c r="AQ27" s="241">
        <v>4570.994522828634</v>
      </c>
      <c r="AR27" s="241">
        <v>243.12674444973112</v>
      </c>
      <c r="AS27" s="96">
        <v>59.08256473176394</v>
      </c>
      <c r="AT27" s="241">
        <v>1433.9592572317115</v>
      </c>
      <c r="AU27" s="163">
        <f>SUM(AQ27:AT27)</f>
        <v>6307.163089241841</v>
      </c>
      <c r="AW27" s="241">
        <v>4570.994522828634</v>
      </c>
      <c r="AX27" s="241">
        <v>243.12674444973112</v>
      </c>
      <c r="AY27" s="96">
        <v>59.08256473176394</v>
      </c>
      <c r="AZ27" s="241">
        <v>1433.9592572317115</v>
      </c>
      <c r="BA27" s="163">
        <f>SUM(AW27:AZ27)</f>
        <v>6307.163089241841</v>
      </c>
      <c r="BB27" s="3">
        <f>AU27-BA27</f>
        <v>0</v>
      </c>
      <c r="BD27" s="3">
        <v>4800.195094204387</v>
      </c>
      <c r="BE27" s="3">
        <v>184.19470585158106</v>
      </c>
      <c r="BF27" s="3">
        <v>69.12188100179937</v>
      </c>
      <c r="BG27" s="3">
        <v>1520.2624069495248</v>
      </c>
      <c r="BH27" s="163">
        <f>SUM(BD27:BG27)</f>
        <v>6573.7740880072915</v>
      </c>
      <c r="BJ27" s="3">
        <v>5242.103303021096</v>
      </c>
      <c r="BK27" s="3">
        <v>262.28941218137436</v>
      </c>
      <c r="BL27" s="3">
        <v>79.19076425879233</v>
      </c>
      <c r="BM27" s="3">
        <v>1609.3899208957237</v>
      </c>
      <c r="BN27" s="163">
        <f>SUM(BJ27:BM27)</f>
        <v>7192.973400356986</v>
      </c>
      <c r="BP27" s="269">
        <v>5669.77428574606</v>
      </c>
      <c r="BQ27" s="3">
        <v>269.0820079485678</v>
      </c>
      <c r="BR27" s="3">
        <v>62.53736039202958</v>
      </c>
      <c r="BS27" s="3">
        <v>1751.5243116784902</v>
      </c>
      <c r="BT27" s="163">
        <f>SUM(BP27:BS27)</f>
        <v>7752.9179657651475</v>
      </c>
      <c r="BV27" s="269">
        <v>5669.216050407621</v>
      </c>
      <c r="BW27" s="3">
        <v>262.4071235603866</v>
      </c>
      <c r="BX27" s="3">
        <v>56.99153064373239</v>
      </c>
      <c r="BY27" s="3">
        <v>1745.905108051881</v>
      </c>
      <c r="BZ27" s="163">
        <f>SUM(BV27:BY27)</f>
        <v>7734.519812663621</v>
      </c>
    </row>
    <row r="28" spans="1:78" ht="15.75">
      <c r="A28" s="1" t="s">
        <v>20</v>
      </c>
      <c r="B28" s="48">
        <v>4850.98</v>
      </c>
      <c r="C28" s="48">
        <v>5190.07</v>
      </c>
      <c r="D28" s="48">
        <v>5442.03</v>
      </c>
      <c r="E28" s="48">
        <v>5193.45</v>
      </c>
      <c r="F28" s="48">
        <v>5445</v>
      </c>
      <c r="G28" s="48">
        <v>5727.767486730777</v>
      </c>
      <c r="H28" s="48">
        <v>6294.324232270739</v>
      </c>
      <c r="I28" s="48">
        <v>6255.252837000782</v>
      </c>
      <c r="J28" s="48">
        <v>7265.883414379598</v>
      </c>
      <c r="K28" s="48">
        <v>7199.581716877956</v>
      </c>
      <c r="L28" s="244">
        <f t="shared" si="1"/>
        <v>-0.9125070376222628</v>
      </c>
      <c r="M28" s="250">
        <f>((K28-AC28)*100)/AC28</f>
        <v>68.85443706940687</v>
      </c>
      <c r="N28" s="49">
        <v>1902.23</v>
      </c>
      <c r="O28" s="49">
        <v>2140.24</v>
      </c>
      <c r="P28" s="49">
        <v>2352.09</v>
      </c>
      <c r="Q28" s="49">
        <v>2592.93</v>
      </c>
      <c r="R28" s="49">
        <v>2914.57</v>
      </c>
      <c r="S28" s="49">
        <v>3139.42</v>
      </c>
      <c r="T28" s="49">
        <v>3328.6</v>
      </c>
      <c r="U28" s="49">
        <v>3356.2</v>
      </c>
      <c r="V28" s="49">
        <v>3436.13</v>
      </c>
      <c r="W28" s="49">
        <v>3690.61</v>
      </c>
      <c r="X28" s="49">
        <v>3917.35</v>
      </c>
      <c r="Y28" s="48">
        <f>3482.23+504.17</f>
        <v>3986.4</v>
      </c>
      <c r="Z28" s="57">
        <v>4060.32</v>
      </c>
      <c r="AA28" s="57">
        <v>4297.26</v>
      </c>
      <c r="AB28" s="48">
        <v>4156.62</v>
      </c>
      <c r="AC28" s="48">
        <v>4263.78</v>
      </c>
      <c r="AD28" s="57"/>
      <c r="AE28" s="96">
        <v>4042.76</v>
      </c>
      <c r="AF28" s="96">
        <v>170.6</v>
      </c>
      <c r="AG28" s="163">
        <v>123.44</v>
      </c>
      <c r="AH28" s="163">
        <v>856.65</v>
      </c>
      <c r="AI28" s="163">
        <f>SUM(AE28:AH28)</f>
        <v>5193.45</v>
      </c>
      <c r="AK28" s="3">
        <v>4132</v>
      </c>
      <c r="AL28" s="3">
        <v>211</v>
      </c>
      <c r="AM28" s="3">
        <v>119</v>
      </c>
      <c r="AN28" s="3">
        <v>983</v>
      </c>
      <c r="AO28" s="163">
        <f>SUM(AK28:AN28)</f>
        <v>5445</v>
      </c>
      <c r="AQ28" s="241">
        <v>4317.424332100951</v>
      </c>
      <c r="AR28" s="241">
        <v>248.1229518434901</v>
      </c>
      <c r="AS28" s="96">
        <v>124.54159314599615</v>
      </c>
      <c r="AT28" s="241">
        <v>1037.6786096403391</v>
      </c>
      <c r="AU28" s="163">
        <f>SUM(AQ28:AT28)</f>
        <v>5727.767486730777</v>
      </c>
      <c r="AW28" s="241">
        <v>4317.424332100951</v>
      </c>
      <c r="AX28" s="241">
        <v>248.1229518434901</v>
      </c>
      <c r="AY28" s="96">
        <v>124.54159314599615</v>
      </c>
      <c r="AZ28" s="241">
        <v>1037.6786096403391</v>
      </c>
      <c r="BA28" s="163">
        <f>SUM(AW28:AZ28)</f>
        <v>5727.767486730777</v>
      </c>
      <c r="BB28" s="3">
        <f>AU28-BA28</f>
        <v>0</v>
      </c>
      <c r="BD28" s="3">
        <v>4696.8136688667</v>
      </c>
      <c r="BE28" s="3">
        <v>306.7242436060233</v>
      </c>
      <c r="BF28" s="3">
        <v>132.82028280181203</v>
      </c>
      <c r="BG28" s="3">
        <v>1157.966036996204</v>
      </c>
      <c r="BH28" s="163">
        <f>SUM(BD28:BG28)</f>
        <v>6294.324232270739</v>
      </c>
      <c r="BJ28" s="3">
        <v>4591.351052750255</v>
      </c>
      <c r="BK28" s="3">
        <v>238.15531415383393</v>
      </c>
      <c r="BL28" s="3">
        <v>257.07154987863595</v>
      </c>
      <c r="BM28" s="3">
        <v>1168.6749202180574</v>
      </c>
      <c r="BN28" s="163">
        <f>SUM(BJ28:BM28)</f>
        <v>6255.252837000782</v>
      </c>
      <c r="BP28" s="269">
        <v>5383.139673399906</v>
      </c>
      <c r="BQ28" s="3">
        <v>309.2945719769256</v>
      </c>
      <c r="BR28" s="3">
        <v>194.43043066275058</v>
      </c>
      <c r="BS28" s="3">
        <v>1379.0187383400155</v>
      </c>
      <c r="BT28" s="163">
        <f>SUM(BP28:BS28)</f>
        <v>7265.883414379598</v>
      </c>
      <c r="BV28" s="269">
        <v>5309.244724260012</v>
      </c>
      <c r="BW28" s="3">
        <v>311.69075242067584</v>
      </c>
      <c r="BX28" s="3">
        <v>121.07714142072074</v>
      </c>
      <c r="BY28" s="3">
        <v>1457.5690987765468</v>
      </c>
      <c r="BZ28" s="163">
        <f>SUM(BV28:BY28)</f>
        <v>7199.581716877956</v>
      </c>
    </row>
    <row r="29" spans="2:78" ht="15.7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244"/>
      <c r="M29" s="250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8"/>
      <c r="Z29" s="57"/>
      <c r="AA29" s="57"/>
      <c r="AB29" s="48"/>
      <c r="AC29" s="48"/>
      <c r="AD29" s="57"/>
      <c r="AE29" s="96"/>
      <c r="AF29" s="96"/>
      <c r="AH29" s="163"/>
      <c r="AI29" s="163"/>
      <c r="AO29" s="163"/>
      <c r="AQ29" s="241"/>
      <c r="AR29" s="241"/>
      <c r="AS29" s="96"/>
      <c r="AT29" s="241"/>
      <c r="AU29" s="163"/>
      <c r="AW29" s="241"/>
      <c r="AX29" s="241"/>
      <c r="AY29" s="96"/>
      <c r="AZ29" s="241"/>
      <c r="BA29" s="163"/>
      <c r="BH29" s="163"/>
      <c r="BN29" s="163"/>
      <c r="BP29" s="269"/>
      <c r="BT29" s="163"/>
      <c r="BV29" s="269"/>
      <c r="BZ29" s="163"/>
    </row>
    <row r="30" spans="1:78" ht="15.75">
      <c r="A30" s="1" t="s">
        <v>21</v>
      </c>
      <c r="B30" s="48">
        <v>5404.41</v>
      </c>
      <c r="C30" s="48">
        <v>5770.06</v>
      </c>
      <c r="D30" s="48">
        <v>5993.99</v>
      </c>
      <c r="E30" s="48">
        <v>6173.81</v>
      </c>
      <c r="F30" s="48">
        <v>6544</v>
      </c>
      <c r="G30" s="48">
        <v>6908.759277778387</v>
      </c>
      <c r="H30" s="48">
        <v>7375.860996993742</v>
      </c>
      <c r="I30" s="48">
        <v>7712.932889764872</v>
      </c>
      <c r="J30" s="48">
        <v>7936.72838920704</v>
      </c>
      <c r="K30" s="48">
        <v>7992.778275948327</v>
      </c>
      <c r="L30" s="244">
        <f t="shared" si="1"/>
        <v>0.7062089565457215</v>
      </c>
      <c r="M30" s="250">
        <f>((K30-AC30)*100)/AC30</f>
        <v>60.81466417611287</v>
      </c>
      <c r="N30" s="49">
        <v>2770.55</v>
      </c>
      <c r="O30" s="49">
        <v>3038.35</v>
      </c>
      <c r="P30" s="49">
        <v>3528.28</v>
      </c>
      <c r="Q30" s="49">
        <v>3557.35</v>
      </c>
      <c r="R30" s="49">
        <v>3885.2</v>
      </c>
      <c r="S30" s="49">
        <v>4287.2</v>
      </c>
      <c r="T30" s="49">
        <v>4516.04</v>
      </c>
      <c r="U30" s="49">
        <v>4380.59</v>
      </c>
      <c r="V30" s="49">
        <v>4458.01</v>
      </c>
      <c r="W30" s="49">
        <v>4485.4</v>
      </c>
      <c r="X30" s="49">
        <v>4610.23</v>
      </c>
      <c r="Y30" s="48">
        <f>4008.99+697.5</f>
        <v>4706.49</v>
      </c>
      <c r="Z30" s="57">
        <v>4783.18</v>
      </c>
      <c r="AA30" s="57">
        <v>4514.96</v>
      </c>
      <c r="AB30" s="48">
        <v>4744.66</v>
      </c>
      <c r="AC30" s="48">
        <v>4970.18</v>
      </c>
      <c r="AD30" s="57"/>
      <c r="AE30" s="96">
        <v>4827.33</v>
      </c>
      <c r="AF30" s="96">
        <v>187.93</v>
      </c>
      <c r="AG30" s="163">
        <v>55.78</v>
      </c>
      <c r="AH30" s="163">
        <v>1102.77</v>
      </c>
      <c r="AI30" s="163">
        <f>SUM(AE30:AH30)</f>
        <v>6173.8099999999995</v>
      </c>
      <c r="AK30" s="3">
        <v>5035</v>
      </c>
      <c r="AL30" s="3">
        <v>219</v>
      </c>
      <c r="AM30" s="3">
        <v>97</v>
      </c>
      <c r="AN30" s="3">
        <v>1193</v>
      </c>
      <c r="AO30" s="163">
        <f>SUM(AK30:AN30)</f>
        <v>6544</v>
      </c>
      <c r="AQ30" s="241">
        <v>5305.101411036019</v>
      </c>
      <c r="AR30" s="241">
        <v>245.9694669236644</v>
      </c>
      <c r="AS30" s="96">
        <v>111.39226563329468</v>
      </c>
      <c r="AT30" s="241">
        <v>1296.0511427521562</v>
      </c>
      <c r="AU30" s="163">
        <f>SUM(AQ30:AT30)</f>
        <v>6958.514286345134</v>
      </c>
      <c r="AW30" s="241">
        <v>5267.168692169359</v>
      </c>
      <c r="AX30" s="241">
        <v>244.21072756777045</v>
      </c>
      <c r="AY30" s="96">
        <v>110.59578481816868</v>
      </c>
      <c r="AZ30" s="241">
        <v>1286.7840732230875</v>
      </c>
      <c r="BA30" s="163">
        <f>SUM(AW30:AZ30)</f>
        <v>6908.759277778387</v>
      </c>
      <c r="BB30" s="3">
        <f>AU30-BA30</f>
        <v>49.755008566747165</v>
      </c>
      <c r="BD30" s="3">
        <v>5575.874487665898</v>
      </c>
      <c r="BE30" s="3">
        <v>270.6973414796974</v>
      </c>
      <c r="BF30" s="3">
        <v>115.98082324537272</v>
      </c>
      <c r="BG30" s="3">
        <v>1413.3083446027738</v>
      </c>
      <c r="BH30" s="163">
        <f>SUM(BD30:BG30)</f>
        <v>7375.860996993742</v>
      </c>
      <c r="BJ30" s="3">
        <v>5871.01146523673</v>
      </c>
      <c r="BK30" s="3">
        <v>220.54023436074988</v>
      </c>
      <c r="BL30" s="3">
        <v>100.98216110325134</v>
      </c>
      <c r="BM30" s="3">
        <v>1520.3990290641407</v>
      </c>
      <c r="BN30" s="163">
        <f>SUM(BJ30:BM30)</f>
        <v>7712.932889764872</v>
      </c>
      <c r="BP30" s="269">
        <v>6038.420994109373</v>
      </c>
      <c r="BQ30" s="3">
        <v>206.70233791471512</v>
      </c>
      <c r="BR30" s="3">
        <v>90.50444848127314</v>
      </c>
      <c r="BS30" s="3">
        <v>1601.1006087016783</v>
      </c>
      <c r="BT30" s="163">
        <f>SUM(BP30:BS30)</f>
        <v>7936.72838920704</v>
      </c>
      <c r="BV30" s="269">
        <v>6042.321857502861</v>
      </c>
      <c r="BW30" s="3">
        <v>197.43603795677345</v>
      </c>
      <c r="BX30" s="3">
        <v>73.63080078082368</v>
      </c>
      <c r="BY30" s="3">
        <v>1679.389579707869</v>
      </c>
      <c r="BZ30" s="163">
        <f>SUM(BV30:BY30)</f>
        <v>7992.778275948327</v>
      </c>
    </row>
    <row r="31" spans="1:78" ht="15.75">
      <c r="A31" s="1" t="s">
        <v>22</v>
      </c>
      <c r="B31" s="48">
        <v>3943.81</v>
      </c>
      <c r="C31" s="48">
        <v>4226.47</v>
      </c>
      <c r="D31" s="48">
        <v>4467.32</v>
      </c>
      <c r="E31" s="48">
        <v>4337.62</v>
      </c>
      <c r="F31" s="48">
        <v>4526</v>
      </c>
      <c r="G31" s="48">
        <v>4944.548826741455</v>
      </c>
      <c r="H31" s="48">
        <v>5695.272585914738</v>
      </c>
      <c r="I31" s="48">
        <v>6615.058084017144</v>
      </c>
      <c r="J31" s="48">
        <v>6643.54476961598</v>
      </c>
      <c r="K31" s="48">
        <v>6668.746907571224</v>
      </c>
      <c r="L31" s="244">
        <f t="shared" si="1"/>
        <v>0.37934775529029957</v>
      </c>
      <c r="M31" s="250">
        <f>((K31-AC31)*100)/AC31</f>
        <v>76.6471243111911</v>
      </c>
      <c r="N31" s="49">
        <v>1945.13</v>
      </c>
      <c r="O31" s="49">
        <v>2161.43</v>
      </c>
      <c r="P31" s="49">
        <v>2416.72</v>
      </c>
      <c r="Q31" s="49">
        <v>2659.4</v>
      </c>
      <c r="R31" s="49">
        <v>2865.1</v>
      </c>
      <c r="S31" s="49">
        <v>3029.88</v>
      </c>
      <c r="T31" s="49">
        <v>3219.31</v>
      </c>
      <c r="U31" s="49">
        <v>3080.96</v>
      </c>
      <c r="V31" s="49">
        <v>3241.77</v>
      </c>
      <c r="W31" s="49">
        <v>3321.37</v>
      </c>
      <c r="X31" s="49">
        <v>3516.4</v>
      </c>
      <c r="Y31" s="48">
        <f>2971.57+578.08</f>
        <v>3549.65</v>
      </c>
      <c r="Z31" s="57">
        <v>3586.77</v>
      </c>
      <c r="AA31" s="57">
        <v>3401.77</v>
      </c>
      <c r="AB31" s="48">
        <v>3630.78</v>
      </c>
      <c r="AC31" s="48">
        <v>3775.18</v>
      </c>
      <c r="AD31" s="57"/>
      <c r="AE31" s="96">
        <v>3263.48</v>
      </c>
      <c r="AF31" s="96">
        <v>210.46</v>
      </c>
      <c r="AG31" s="163">
        <v>83.52</v>
      </c>
      <c r="AH31" s="163">
        <v>780.16</v>
      </c>
      <c r="AI31" s="163">
        <f>SUM(AE31:AH31)</f>
        <v>4337.62</v>
      </c>
      <c r="AK31" s="3">
        <v>3404</v>
      </c>
      <c r="AL31" s="3">
        <v>189</v>
      </c>
      <c r="AM31" s="3">
        <v>97</v>
      </c>
      <c r="AN31" s="3">
        <v>836</v>
      </c>
      <c r="AO31" s="163">
        <f>SUM(AK31:AN31)</f>
        <v>4526</v>
      </c>
      <c r="AQ31" s="241">
        <v>3586.4466699526683</v>
      </c>
      <c r="AR31" s="241">
        <v>262.85009710329234</v>
      </c>
      <c r="AS31" s="96">
        <v>94.88813793342901</v>
      </c>
      <c r="AT31" s="241">
        <v>921.2421640806581</v>
      </c>
      <c r="AU31" s="163">
        <f>SUM(AQ31:AT31)</f>
        <v>4865.427069070048</v>
      </c>
      <c r="AW31" s="241">
        <v>3644.7696003538545</v>
      </c>
      <c r="AX31" s="241">
        <v>267.12457525118646</v>
      </c>
      <c r="AY31" s="96">
        <v>96.43121239511132</v>
      </c>
      <c r="AZ31" s="241">
        <v>936.2234387413024</v>
      </c>
      <c r="BA31" s="163">
        <f>SUM(AW31:AZ31)</f>
        <v>4944.548826741455</v>
      </c>
      <c r="BB31" s="3">
        <f>AU31-BA31</f>
        <v>-79.12175767140707</v>
      </c>
      <c r="BD31" s="3">
        <v>4076.950728276698</v>
      </c>
      <c r="BE31" s="3">
        <v>219.58534719854973</v>
      </c>
      <c r="BF31" s="3">
        <v>226.71329352308283</v>
      </c>
      <c r="BG31" s="3">
        <v>1172.0232169164062</v>
      </c>
      <c r="BH31" s="163">
        <f>SUM(BD31:BG31)</f>
        <v>5695.272585914738</v>
      </c>
      <c r="BJ31" s="3">
        <v>4644.1232610857705</v>
      </c>
      <c r="BK31" s="3">
        <v>303.3171407451363</v>
      </c>
      <c r="BL31" s="3">
        <v>306.5544676339375</v>
      </c>
      <c r="BM31" s="3">
        <v>1361.0632145522995</v>
      </c>
      <c r="BN31" s="163">
        <f>SUM(BJ31:BM31)</f>
        <v>6615.058084017144</v>
      </c>
      <c r="BP31" s="269">
        <v>4716.046544666795</v>
      </c>
      <c r="BQ31" s="3">
        <v>159.04543677160189</v>
      </c>
      <c r="BR31" s="3">
        <v>353.35563662308317</v>
      </c>
      <c r="BS31" s="3">
        <v>1415.0971515544995</v>
      </c>
      <c r="BT31" s="163">
        <f>SUM(BP31:BS31)</f>
        <v>6643.54476961598</v>
      </c>
      <c r="BV31" s="269">
        <v>4714.370153863748</v>
      </c>
      <c r="BW31" s="3">
        <v>163.01225169498065</v>
      </c>
      <c r="BX31" s="3">
        <v>314.66578976035106</v>
      </c>
      <c r="BY31" s="3">
        <v>1476.698712252145</v>
      </c>
      <c r="BZ31" s="163">
        <f>SUM(BV31:BY31)</f>
        <v>6668.746907571224</v>
      </c>
    </row>
    <row r="32" spans="1:78" ht="15.75">
      <c r="A32" s="1" t="s">
        <v>23</v>
      </c>
      <c r="B32" s="48">
        <v>4094.33</v>
      </c>
      <c r="C32" s="48">
        <v>4487.5</v>
      </c>
      <c r="D32" s="48">
        <v>4563.6</v>
      </c>
      <c r="E32" s="48">
        <v>4681.13</v>
      </c>
      <c r="F32" s="48">
        <v>4761</v>
      </c>
      <c r="G32" s="48">
        <v>5016.340855784192</v>
      </c>
      <c r="H32" s="48">
        <v>5133.177994771948</v>
      </c>
      <c r="I32" s="48">
        <v>5553.447369249743</v>
      </c>
      <c r="J32" s="48">
        <v>5867.334573241061</v>
      </c>
      <c r="K32" s="48">
        <v>6085.216483647239</v>
      </c>
      <c r="L32" s="244">
        <f t="shared" si="1"/>
        <v>3.7134734296534693</v>
      </c>
      <c r="M32" s="250">
        <f>((K32-AC32)*100)/AC32</f>
        <v>57.88246499719115</v>
      </c>
      <c r="N32" s="49">
        <v>1798.72</v>
      </c>
      <c r="O32" s="49">
        <v>2130.82</v>
      </c>
      <c r="P32" s="49">
        <v>2461.69</v>
      </c>
      <c r="Q32" s="49">
        <v>2588.69</v>
      </c>
      <c r="R32" s="49">
        <v>2720.52</v>
      </c>
      <c r="S32" s="49">
        <v>2938.03</v>
      </c>
      <c r="T32" s="49">
        <v>3073.72</v>
      </c>
      <c r="U32" s="49">
        <v>3153.52</v>
      </c>
      <c r="V32" s="49">
        <v>3203.81</v>
      </c>
      <c r="W32" s="49">
        <v>3408.86</v>
      </c>
      <c r="X32" s="49">
        <v>3450.15</v>
      </c>
      <c r="Y32" s="48">
        <f>2994.7+454.15</f>
        <v>3448.85</v>
      </c>
      <c r="Z32" s="57">
        <v>3623.32</v>
      </c>
      <c r="AA32" s="57">
        <v>3434.93</v>
      </c>
      <c r="AB32" s="48">
        <v>3679.53</v>
      </c>
      <c r="AC32" s="48">
        <v>3854.27</v>
      </c>
      <c r="AD32" s="57"/>
      <c r="AE32" s="96">
        <v>3545.24</v>
      </c>
      <c r="AF32" s="96">
        <v>264.43</v>
      </c>
      <c r="AG32" s="163">
        <v>100.07</v>
      </c>
      <c r="AH32" s="163">
        <v>771.39</v>
      </c>
      <c r="AI32" s="163">
        <f>SUM(AE32:AH32)</f>
        <v>4681.13</v>
      </c>
      <c r="AK32" s="3">
        <v>3635</v>
      </c>
      <c r="AL32" s="3">
        <v>226</v>
      </c>
      <c r="AM32" s="3">
        <v>99</v>
      </c>
      <c r="AN32" s="3">
        <v>801</v>
      </c>
      <c r="AO32" s="163">
        <f>SUM(AK32:AN32)</f>
        <v>4761</v>
      </c>
      <c r="AQ32" s="241">
        <v>3807.8497629210974</v>
      </c>
      <c r="AR32" s="241">
        <v>215.78740461699837</v>
      </c>
      <c r="AS32" s="96">
        <v>124.24310994830753</v>
      </c>
      <c r="AT32" s="241">
        <v>868.4605782977886</v>
      </c>
      <c r="AU32" s="163">
        <f>SUM(AQ32:AT32)</f>
        <v>5016.340855784192</v>
      </c>
      <c r="AW32" s="241">
        <v>3807.8497629210974</v>
      </c>
      <c r="AX32" s="241">
        <v>215.78740461699837</v>
      </c>
      <c r="AY32" s="96">
        <v>124.24310994830753</v>
      </c>
      <c r="AZ32" s="241">
        <v>868.4605782977886</v>
      </c>
      <c r="BA32" s="163">
        <f>SUM(AW32:AZ32)</f>
        <v>5016.340855784192</v>
      </c>
      <c r="BB32" s="3">
        <f>AU32-BA32</f>
        <v>0</v>
      </c>
      <c r="BD32" s="3">
        <v>3913.490944407499</v>
      </c>
      <c r="BE32" s="3">
        <v>248.70898843112337</v>
      </c>
      <c r="BF32" s="3">
        <v>111.42948647883429</v>
      </c>
      <c r="BG32" s="3">
        <v>859.5485754544916</v>
      </c>
      <c r="BH32" s="163">
        <f>SUM(BD32:BG32)</f>
        <v>5133.177994771948</v>
      </c>
      <c r="BJ32" s="3">
        <v>4239.339433699844</v>
      </c>
      <c r="BK32" s="3">
        <v>255.67416616369698</v>
      </c>
      <c r="BL32" s="3">
        <v>91.97831500774137</v>
      </c>
      <c r="BM32" s="3">
        <v>966.4554543784607</v>
      </c>
      <c r="BN32" s="163">
        <f>SUM(BJ32:BM32)</f>
        <v>5553.447369249743</v>
      </c>
      <c r="BP32" s="269">
        <v>4467.296100713012</v>
      </c>
      <c r="BQ32" s="3">
        <v>249.3913429275453</v>
      </c>
      <c r="BR32" s="3">
        <v>124.62480601866415</v>
      </c>
      <c r="BS32" s="3">
        <v>1026.0223235818394</v>
      </c>
      <c r="BT32" s="163">
        <f>SUM(BP32:BS32)</f>
        <v>5867.334573241061</v>
      </c>
      <c r="BV32" s="269">
        <v>4647.47024403955</v>
      </c>
      <c r="BW32" s="3">
        <v>207.02064598399488</v>
      </c>
      <c r="BX32" s="3">
        <v>98.2001236946116</v>
      </c>
      <c r="BY32" s="3">
        <v>1132.5254699290826</v>
      </c>
      <c r="BZ32" s="163">
        <f>SUM(BV32:BY32)</f>
        <v>6085.216483647239</v>
      </c>
    </row>
    <row r="33" spans="1:78" ht="15.75">
      <c r="A33" s="1" t="s">
        <v>24</v>
      </c>
      <c r="B33" s="48">
        <v>3948.61</v>
      </c>
      <c r="C33" s="48">
        <v>4297.64</v>
      </c>
      <c r="D33" s="48">
        <v>4290.06</v>
      </c>
      <c r="E33" s="48">
        <v>4433.29</v>
      </c>
      <c r="F33" s="48">
        <v>4743</v>
      </c>
      <c r="G33" s="48">
        <v>4813.261608514148</v>
      </c>
      <c r="H33" s="48">
        <v>5055.0016347326655</v>
      </c>
      <c r="I33" s="48">
        <v>5363.824528491754</v>
      </c>
      <c r="J33" s="48">
        <v>5582.105120982692</v>
      </c>
      <c r="K33" s="48">
        <v>6080.693640900374</v>
      </c>
      <c r="L33" s="244">
        <f t="shared" si="1"/>
        <v>8.931908466637918</v>
      </c>
      <c r="M33" s="250">
        <f>((K33-AC33)*100)/AC33</f>
        <v>64.0269869386931</v>
      </c>
      <c r="N33" s="49">
        <v>1741.92</v>
      </c>
      <c r="O33" s="49">
        <v>1995.24</v>
      </c>
      <c r="P33" s="49">
        <v>2194.72</v>
      </c>
      <c r="Q33" s="49">
        <v>2355.41</v>
      </c>
      <c r="R33" s="49">
        <v>2478</v>
      </c>
      <c r="S33" s="49">
        <v>2758.55</v>
      </c>
      <c r="T33" s="49">
        <v>2965.05</v>
      </c>
      <c r="U33" s="49">
        <v>3214.43</v>
      </c>
      <c r="V33" s="49">
        <v>3334.77</v>
      </c>
      <c r="W33" s="49">
        <v>3346</v>
      </c>
      <c r="X33" s="49">
        <v>3537.13</v>
      </c>
      <c r="Y33" s="48">
        <f>2888.83+532.14</f>
        <v>3420.97</v>
      </c>
      <c r="Z33" s="57">
        <v>3593.54</v>
      </c>
      <c r="AA33" s="57">
        <v>3369.98</v>
      </c>
      <c r="AB33" s="48">
        <v>3578.4</v>
      </c>
      <c r="AC33" s="48">
        <v>3707.13</v>
      </c>
      <c r="AD33" s="57"/>
      <c r="AE33" s="96">
        <v>3285.02</v>
      </c>
      <c r="AF33" s="96">
        <v>213.55</v>
      </c>
      <c r="AG33" s="163">
        <v>108.88</v>
      </c>
      <c r="AH33" s="163">
        <v>825.84</v>
      </c>
      <c r="AI33" s="163">
        <f>SUM(AE33:AH33)</f>
        <v>4433.29</v>
      </c>
      <c r="AK33" s="3">
        <v>3487</v>
      </c>
      <c r="AL33" s="3">
        <v>246</v>
      </c>
      <c r="AM33" s="3">
        <v>98</v>
      </c>
      <c r="AN33" s="3">
        <v>912</v>
      </c>
      <c r="AO33" s="163">
        <f>SUM(AK33:AN33)</f>
        <v>4743</v>
      </c>
      <c r="AQ33" s="241">
        <v>3580.9201517512465</v>
      </c>
      <c r="AR33" s="241">
        <v>215.42726580093066</v>
      </c>
      <c r="AS33" s="96">
        <v>102.20548480228317</v>
      </c>
      <c r="AT33" s="241">
        <v>914.7087061596875</v>
      </c>
      <c r="AU33" s="163">
        <f>SUM(AQ33:AT33)</f>
        <v>4813.261608514148</v>
      </c>
      <c r="AW33" s="241">
        <v>3580.9201517512465</v>
      </c>
      <c r="AX33" s="241">
        <v>215.42726580093066</v>
      </c>
      <c r="AY33" s="96">
        <v>102.20548480228317</v>
      </c>
      <c r="AZ33" s="241">
        <v>914.7087061596875</v>
      </c>
      <c r="BA33" s="163">
        <f>SUM(AW33:AZ33)</f>
        <v>4813.261608514148</v>
      </c>
      <c r="BB33" s="3">
        <f>AU33-BA33</f>
        <v>0</v>
      </c>
      <c r="BD33" s="3">
        <v>3792.1327091664225</v>
      </c>
      <c r="BE33" s="3">
        <v>213.88657413268692</v>
      </c>
      <c r="BF33" s="3">
        <v>85.69503497043338</v>
      </c>
      <c r="BG33" s="3">
        <v>963.2873164631227</v>
      </c>
      <c r="BH33" s="163">
        <f>SUM(BD33:BG33)</f>
        <v>5055.0016347326655</v>
      </c>
      <c r="BJ33" s="3">
        <v>4019.7028307266337</v>
      </c>
      <c r="BK33" s="3">
        <v>283.9260181071365</v>
      </c>
      <c r="BL33" s="3">
        <v>78.11740303777862</v>
      </c>
      <c r="BM33" s="3">
        <v>982.0782766202046</v>
      </c>
      <c r="BN33" s="163">
        <f>SUM(BJ33:BM33)</f>
        <v>5363.824528491754</v>
      </c>
      <c r="BP33" s="269">
        <v>4176.181093688327</v>
      </c>
      <c r="BQ33" s="3">
        <v>279.6824051813843</v>
      </c>
      <c r="BR33" s="3">
        <v>78.05558386259526</v>
      </c>
      <c r="BS33" s="3">
        <v>1048.1860382503855</v>
      </c>
      <c r="BT33" s="163">
        <f>SUM(BP33:BS33)</f>
        <v>5582.105120982692</v>
      </c>
      <c r="BV33" s="269">
        <v>4378.82974201699</v>
      </c>
      <c r="BW33" s="3">
        <v>427.0228394635681</v>
      </c>
      <c r="BX33" s="3">
        <v>63.610402743976564</v>
      </c>
      <c r="BY33" s="3">
        <v>1211.2306566758393</v>
      </c>
      <c r="BZ33" s="163">
        <f>SUM(BV33:BY33)</f>
        <v>6080.693640900374</v>
      </c>
    </row>
    <row r="34" spans="1:78" ht="15.75">
      <c r="A34" s="1" t="s">
        <v>25</v>
      </c>
      <c r="B34" s="48">
        <v>4548.68</v>
      </c>
      <c r="C34" s="48">
        <v>4870.63</v>
      </c>
      <c r="D34" s="48">
        <v>5126.54</v>
      </c>
      <c r="E34" s="48">
        <v>5265.73</v>
      </c>
      <c r="F34" s="48">
        <v>5526</v>
      </c>
      <c r="G34" s="48">
        <v>6016.915075223698</v>
      </c>
      <c r="H34" s="48">
        <v>6528.863095596704</v>
      </c>
      <c r="I34" s="48">
        <v>7322.857593684004</v>
      </c>
      <c r="J34" s="48">
        <v>7299.961257979587</v>
      </c>
      <c r="K34" s="48">
        <v>7442.545169984905</v>
      </c>
      <c r="L34" s="244">
        <f t="shared" si="1"/>
        <v>1.9532146400018264</v>
      </c>
      <c r="M34" s="250">
        <f>((K34-AC34)*100)/AC34</f>
        <v>73.36143677697378</v>
      </c>
      <c r="N34" s="49">
        <v>1602.99</v>
      </c>
      <c r="O34" s="49">
        <v>1749.92</v>
      </c>
      <c r="P34" s="49">
        <v>1945.13</v>
      </c>
      <c r="Q34" s="49">
        <v>2133.34</v>
      </c>
      <c r="R34" s="49">
        <v>2411.96</v>
      </c>
      <c r="S34" s="49">
        <v>2683.67</v>
      </c>
      <c r="T34" s="49">
        <v>2942.52</v>
      </c>
      <c r="U34" s="49">
        <v>2784.58</v>
      </c>
      <c r="V34" s="49">
        <v>2964.25</v>
      </c>
      <c r="W34" s="49">
        <v>3273.33</v>
      </c>
      <c r="X34" s="49">
        <v>3502.99</v>
      </c>
      <c r="Y34" s="48">
        <f>3264.09+512.11</f>
        <v>3776.2000000000003</v>
      </c>
      <c r="Z34" s="57">
        <v>3814.36</v>
      </c>
      <c r="AA34" s="57">
        <v>3780.42</v>
      </c>
      <c r="AB34" s="48">
        <v>3994.91</v>
      </c>
      <c r="AC34" s="48">
        <v>4293.08</v>
      </c>
      <c r="AD34" s="57"/>
      <c r="AE34" s="96">
        <v>3926.62</v>
      </c>
      <c r="AF34" s="96">
        <v>288.05</v>
      </c>
      <c r="AG34" s="163">
        <v>228.98</v>
      </c>
      <c r="AH34" s="163">
        <v>822.08</v>
      </c>
      <c r="AI34" s="163">
        <f>SUM(AE34:AH34)</f>
        <v>5265.73</v>
      </c>
      <c r="AK34" s="3">
        <v>4067</v>
      </c>
      <c r="AL34" s="3">
        <v>381</v>
      </c>
      <c r="AM34" s="3">
        <v>255</v>
      </c>
      <c r="AN34" s="3">
        <v>823</v>
      </c>
      <c r="AO34" s="163">
        <f>SUM(AK34:AN34)</f>
        <v>5526</v>
      </c>
      <c r="AQ34" s="241">
        <v>4460.061366040849</v>
      </c>
      <c r="AR34" s="241">
        <v>376.26114368712683</v>
      </c>
      <c r="AS34" s="96">
        <v>290.0649093549949</v>
      </c>
      <c r="AT34" s="241">
        <v>890.5276561407285</v>
      </c>
      <c r="AU34" s="163">
        <f>SUM(AQ34:AT34)</f>
        <v>6016.915075223698</v>
      </c>
      <c r="AW34" s="241">
        <v>4460.061366040849</v>
      </c>
      <c r="AX34" s="241">
        <v>376.26114368712683</v>
      </c>
      <c r="AY34" s="96">
        <v>290.0649093549949</v>
      </c>
      <c r="AZ34" s="241">
        <v>890.5276561407285</v>
      </c>
      <c r="BA34" s="163">
        <f>SUM(AW34:AZ34)</f>
        <v>6016.915075223698</v>
      </c>
      <c r="BB34" s="3">
        <f>AU34-BA34</f>
        <v>0</v>
      </c>
      <c r="BD34" s="3">
        <v>4897.265519624347</v>
      </c>
      <c r="BE34" s="3">
        <v>456.0575883760078</v>
      </c>
      <c r="BF34" s="3">
        <v>219.11686719234518</v>
      </c>
      <c r="BG34" s="3">
        <v>956.4231204040046</v>
      </c>
      <c r="BH34" s="163">
        <f>SUM(BD34:BG34)</f>
        <v>6528.863095596704</v>
      </c>
      <c r="BJ34" s="3">
        <v>5518.875175159844</v>
      </c>
      <c r="BK34" s="3">
        <v>437.68078481759426</v>
      </c>
      <c r="BL34" s="3">
        <v>244.561698101258</v>
      </c>
      <c r="BM34" s="3">
        <v>1121.7399356053083</v>
      </c>
      <c r="BN34" s="163">
        <f>SUM(BJ34:BM34)</f>
        <v>7322.857593684004</v>
      </c>
      <c r="BP34" s="269">
        <v>5512.362163234393</v>
      </c>
      <c r="BQ34" s="3">
        <v>380.5668301655426</v>
      </c>
      <c r="BR34" s="3">
        <v>238.04942114184732</v>
      </c>
      <c r="BS34" s="3">
        <v>1168.982843437804</v>
      </c>
      <c r="BT34" s="163">
        <f>SUM(BP34:BS34)</f>
        <v>7299.961257979587</v>
      </c>
      <c r="BV34" s="269">
        <v>5501.459943937325</v>
      </c>
      <c r="BW34" s="3">
        <v>419.49943937324804</v>
      </c>
      <c r="BX34" s="3">
        <v>235.02584273700856</v>
      </c>
      <c r="BY34" s="3">
        <v>1286.559943937325</v>
      </c>
      <c r="BZ34" s="163">
        <f>SUM(BV34:BY34)</f>
        <v>7442.545169984905</v>
      </c>
    </row>
    <row r="35" spans="2:78" ht="15.7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244"/>
      <c r="M35" s="250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8"/>
      <c r="Z35" s="57"/>
      <c r="AA35" s="57"/>
      <c r="AB35" s="48"/>
      <c r="AC35" s="48"/>
      <c r="AD35" s="57"/>
      <c r="AE35"/>
      <c r="AF35"/>
      <c r="AH35" s="163"/>
      <c r="AI35" s="163"/>
      <c r="AO35" s="163"/>
      <c r="AQ35" s="241"/>
      <c r="AR35" s="241"/>
      <c r="AS35" s="96"/>
      <c r="AT35" s="241"/>
      <c r="AU35" s="163"/>
      <c r="AW35" s="241"/>
      <c r="AX35" s="241"/>
      <c r="AY35" s="96"/>
      <c r="AZ35" s="241"/>
      <c r="BA35" s="163"/>
      <c r="BH35" s="163"/>
      <c r="BN35" s="163"/>
      <c r="BP35" s="270"/>
      <c r="BT35" s="163"/>
      <c r="BV35" s="270"/>
      <c r="BZ35" s="163"/>
    </row>
    <row r="36" spans="1:78" ht="15.75">
      <c r="A36" s="1" t="s">
        <v>26</v>
      </c>
      <c r="B36" s="48">
        <v>4160.08</v>
      </c>
      <c r="C36" s="48">
        <v>4541.32</v>
      </c>
      <c r="D36" s="48">
        <v>4678.28</v>
      </c>
      <c r="E36" s="48">
        <v>4963.86</v>
      </c>
      <c r="F36" s="48">
        <v>4820</v>
      </c>
      <c r="G36" s="48">
        <v>5106.6249350171365</v>
      </c>
      <c r="H36" s="48">
        <v>5322.72458951487</v>
      </c>
      <c r="I36" s="48">
        <v>5406.823229264558</v>
      </c>
      <c r="J36" s="48">
        <v>5631.902378588087</v>
      </c>
      <c r="K36" s="48">
        <v>6033.771368180521</v>
      </c>
      <c r="L36" s="244">
        <f t="shared" si="1"/>
        <v>7.135581595311346</v>
      </c>
      <c r="M36" s="250">
        <f>((K36-AC36)*100)/AC36</f>
        <v>56.508320316777194</v>
      </c>
      <c r="N36" s="49">
        <v>2047.29</v>
      </c>
      <c r="O36" s="49">
        <v>2211.37</v>
      </c>
      <c r="P36" s="49">
        <v>2289.85</v>
      </c>
      <c r="Q36" s="49">
        <v>2758.61</v>
      </c>
      <c r="R36" s="49">
        <v>3043.44</v>
      </c>
      <c r="S36" s="49">
        <v>3417.57</v>
      </c>
      <c r="T36" s="49">
        <v>3423.15</v>
      </c>
      <c r="U36" s="49">
        <v>3265.79</v>
      </c>
      <c r="V36" s="49">
        <v>3278.91</v>
      </c>
      <c r="W36" s="49">
        <v>3444.32</v>
      </c>
      <c r="X36" s="49">
        <v>3585.58</v>
      </c>
      <c r="Y36" s="48">
        <f>3233.62+458.39</f>
        <v>3692.0099999999998</v>
      </c>
      <c r="Z36" s="57">
        <v>3877.18</v>
      </c>
      <c r="AA36" s="57">
        <v>3526.22</v>
      </c>
      <c r="AB36" s="48">
        <v>3738.45</v>
      </c>
      <c r="AC36" s="48">
        <v>3855.24</v>
      </c>
      <c r="AD36" s="57"/>
      <c r="AE36" s="96">
        <v>3833.01</v>
      </c>
      <c r="AF36" s="96">
        <v>260.82</v>
      </c>
      <c r="AG36" s="163">
        <v>150.13</v>
      </c>
      <c r="AH36" s="163">
        <v>719.9</v>
      </c>
      <c r="AI36" s="163">
        <f>SUM(AE36:AH36)</f>
        <v>4963.86</v>
      </c>
      <c r="AK36" s="3">
        <v>3762</v>
      </c>
      <c r="AL36" s="3">
        <v>185</v>
      </c>
      <c r="AM36" s="3">
        <v>142</v>
      </c>
      <c r="AN36" s="3">
        <v>731</v>
      </c>
      <c r="AO36" s="163">
        <f>SUM(AK36:AN36)</f>
        <v>4820</v>
      </c>
      <c r="AQ36" s="241">
        <v>3972.371812389299</v>
      </c>
      <c r="AR36" s="241">
        <v>244.43734271846893</v>
      </c>
      <c r="AS36" s="96">
        <v>153.18884595036</v>
      </c>
      <c r="AT36" s="241">
        <v>736.626933959009</v>
      </c>
      <c r="AU36" s="163">
        <f>SUM(AQ36:AT36)</f>
        <v>5106.6249350171365</v>
      </c>
      <c r="AW36" s="241">
        <v>3972.371812389299</v>
      </c>
      <c r="AX36" s="241">
        <v>244.43734271846893</v>
      </c>
      <c r="AY36" s="96">
        <v>153.18884595036</v>
      </c>
      <c r="AZ36" s="241">
        <v>736.626933959009</v>
      </c>
      <c r="BA36" s="163">
        <f>SUM(AW36:AZ36)</f>
        <v>5106.6249350171365</v>
      </c>
      <c r="BB36" s="3">
        <f>AU36-BA36</f>
        <v>0</v>
      </c>
      <c r="BD36" s="3">
        <v>4140.942934997787</v>
      </c>
      <c r="BE36" s="3">
        <v>264.93745720474186</v>
      </c>
      <c r="BF36" s="3">
        <v>130.24438828981997</v>
      </c>
      <c r="BG36" s="3">
        <v>786.5998090225214</v>
      </c>
      <c r="BH36" s="163">
        <f>SUM(BD36:BG36)</f>
        <v>5322.72458951487</v>
      </c>
      <c r="BJ36" s="3">
        <v>4225.145417841356</v>
      </c>
      <c r="BK36" s="3">
        <v>264.36922951979864</v>
      </c>
      <c r="BL36" s="3">
        <v>86.81893889294955</v>
      </c>
      <c r="BM36" s="3">
        <v>830.4896430104534</v>
      </c>
      <c r="BN36" s="163">
        <f>SUM(BJ36:BM36)</f>
        <v>5406.823229264558</v>
      </c>
      <c r="BP36" s="269">
        <v>4336.196436736484</v>
      </c>
      <c r="BQ36" s="3">
        <v>321.4509548991987</v>
      </c>
      <c r="BR36" s="3">
        <v>130.65593838764056</v>
      </c>
      <c r="BS36" s="3">
        <v>843.5990485647644</v>
      </c>
      <c r="BT36" s="163">
        <f>SUM(BP36:BS36)</f>
        <v>5631.902378588087</v>
      </c>
      <c r="BV36" s="269">
        <v>4506.697446443874</v>
      </c>
      <c r="BW36" s="3">
        <v>306.22297400742644</v>
      </c>
      <c r="BX36" s="3">
        <v>162.12820565552695</v>
      </c>
      <c r="BY36" s="3">
        <v>1058.7227420736933</v>
      </c>
      <c r="BZ36" s="163">
        <f>SUM(BV36:BY36)</f>
        <v>6033.771368180521</v>
      </c>
    </row>
    <row r="37" spans="1:78" ht="15.75">
      <c r="A37" s="1" t="s">
        <v>27</v>
      </c>
      <c r="B37" s="48">
        <v>3993.55</v>
      </c>
      <c r="C37" s="48">
        <v>4312.79</v>
      </c>
      <c r="D37" s="48">
        <v>4447.87</v>
      </c>
      <c r="E37" s="48">
        <v>4626.84</v>
      </c>
      <c r="F37" s="48">
        <v>4819</v>
      </c>
      <c r="G37" s="48">
        <v>5096.706200185309</v>
      </c>
      <c r="H37" s="48">
        <v>5319.929090880943</v>
      </c>
      <c r="I37" s="48">
        <v>5840.57874279159</v>
      </c>
      <c r="J37" s="48">
        <v>5941.322254228513</v>
      </c>
      <c r="K37" s="48">
        <v>6088.109925478157</v>
      </c>
      <c r="L37" s="244">
        <f t="shared" si="1"/>
        <v>2.470622951737267</v>
      </c>
      <c r="M37" s="250">
        <f>((K37-AC37)*100)/AC37</f>
        <v>59.049843917606886</v>
      </c>
      <c r="N37" s="49">
        <v>1873.62</v>
      </c>
      <c r="O37" s="49">
        <v>2062.82</v>
      </c>
      <c r="P37" s="49">
        <v>2276.64</v>
      </c>
      <c r="Q37" s="49">
        <v>2471.45</v>
      </c>
      <c r="R37" s="49">
        <v>2690.4</v>
      </c>
      <c r="S37" s="49">
        <v>2889.12</v>
      </c>
      <c r="T37" s="49">
        <v>3101.57</v>
      </c>
      <c r="U37" s="49">
        <v>3154.69</v>
      </c>
      <c r="V37" s="49">
        <v>3165.86</v>
      </c>
      <c r="W37" s="49">
        <v>3265.74</v>
      </c>
      <c r="X37" s="49">
        <v>3462.82</v>
      </c>
      <c r="Y37" s="48">
        <f>3054.16+457.04</f>
        <v>3511.2</v>
      </c>
      <c r="Z37" s="57">
        <v>3550.21</v>
      </c>
      <c r="AA37" s="57">
        <v>3368.62</v>
      </c>
      <c r="AB37" s="48">
        <v>3604.86</v>
      </c>
      <c r="AC37" s="48">
        <v>3827.8</v>
      </c>
      <c r="AD37" s="57"/>
      <c r="AE37" s="96">
        <v>3515.17</v>
      </c>
      <c r="AF37" s="96">
        <v>316.23</v>
      </c>
      <c r="AG37" s="163">
        <v>99.33</v>
      </c>
      <c r="AH37" s="163">
        <v>696.11</v>
      </c>
      <c r="AI37" s="163">
        <f>SUM(AE37:AH37)</f>
        <v>4626.84</v>
      </c>
      <c r="AK37" s="3">
        <v>3617</v>
      </c>
      <c r="AL37" s="3">
        <v>385</v>
      </c>
      <c r="AM37" s="3">
        <v>95</v>
      </c>
      <c r="AN37" s="3">
        <v>722</v>
      </c>
      <c r="AO37" s="163">
        <f>SUM(AK37:AN37)</f>
        <v>4819</v>
      </c>
      <c r="AQ37" s="241">
        <v>3868.5980346649494</v>
      </c>
      <c r="AR37" s="241">
        <v>342.33147224029346</v>
      </c>
      <c r="AS37" s="96">
        <v>102.94678669358873</v>
      </c>
      <c r="AT37" s="241">
        <v>782.8299065864779</v>
      </c>
      <c r="AU37" s="163">
        <f>SUM(AQ37:AT37)</f>
        <v>5096.706200185309</v>
      </c>
      <c r="AW37" s="241">
        <v>3868.5980346649494</v>
      </c>
      <c r="AX37" s="241">
        <v>342.33147224029346</v>
      </c>
      <c r="AY37" s="96">
        <v>102.94678669358873</v>
      </c>
      <c r="AZ37" s="241">
        <v>782.8299065864779</v>
      </c>
      <c r="BA37" s="163">
        <f>SUM(AW37:AZ37)</f>
        <v>5096.706200185309</v>
      </c>
      <c r="BB37" s="3">
        <f>AU37-BA37</f>
        <v>0</v>
      </c>
      <c r="BD37" s="3">
        <v>4054.877645164006</v>
      </c>
      <c r="BE37" s="3">
        <v>383.65166301934255</v>
      </c>
      <c r="BF37" s="3">
        <v>99.83316161538897</v>
      </c>
      <c r="BG37" s="3">
        <v>781.5666210822043</v>
      </c>
      <c r="BH37" s="163">
        <f>SUM(BD37:BG37)</f>
        <v>5319.929090880943</v>
      </c>
      <c r="BJ37" s="3">
        <v>4399.271950468483</v>
      </c>
      <c r="BK37" s="3">
        <v>420.6646514052787</v>
      </c>
      <c r="BL37" s="3">
        <v>118.13430824350021</v>
      </c>
      <c r="BM37" s="3">
        <v>902.5078326743276</v>
      </c>
      <c r="BN37" s="163">
        <f>SUM(BJ37:BM37)</f>
        <v>5840.57874279159</v>
      </c>
      <c r="BP37" s="269">
        <v>4497.563294856042</v>
      </c>
      <c r="BQ37" s="3">
        <v>389.6006550676672</v>
      </c>
      <c r="BR37" s="3">
        <v>131.76297930140063</v>
      </c>
      <c r="BS37" s="3">
        <v>922.3953250034032</v>
      </c>
      <c r="BT37" s="163">
        <f>SUM(BP37:BS37)</f>
        <v>5941.322254228513</v>
      </c>
      <c r="BV37" s="269">
        <v>4606.21910791451</v>
      </c>
      <c r="BW37" s="3">
        <v>314.4929481192921</v>
      </c>
      <c r="BX37" s="3">
        <v>155.33315661190233</v>
      </c>
      <c r="BY37" s="3">
        <v>1012.0647128324529</v>
      </c>
      <c r="BZ37" s="163">
        <f>SUM(BV37:BY37)</f>
        <v>6088.109925478157</v>
      </c>
    </row>
    <row r="38" spans="1:78" ht="15.75">
      <c r="A38" s="1" t="s">
        <v>28</v>
      </c>
      <c r="B38" s="48">
        <v>4326.2</v>
      </c>
      <c r="C38" s="48">
        <v>4545.74</v>
      </c>
      <c r="D38" s="48">
        <v>4678.81</v>
      </c>
      <c r="E38" s="48">
        <v>4797.17</v>
      </c>
      <c r="F38" s="48">
        <v>4961</v>
      </c>
      <c r="G38" s="48">
        <v>5294.25425908887</v>
      </c>
      <c r="H38" s="48">
        <v>5810.112728210091</v>
      </c>
      <c r="I38" s="48">
        <v>6282.191768277155</v>
      </c>
      <c r="J38" s="48">
        <v>6430.115322343408</v>
      </c>
      <c r="K38" s="48">
        <v>6650.685961953066</v>
      </c>
      <c r="L38" s="244">
        <f t="shared" si="1"/>
        <v>3.430275019224276</v>
      </c>
      <c r="M38" s="250">
        <f>((K38-AC38)*100)/AC38</f>
        <v>68.75030985839291</v>
      </c>
      <c r="N38" s="49">
        <v>1809.28</v>
      </c>
      <c r="O38" s="49">
        <v>1975.29</v>
      </c>
      <c r="P38" s="49">
        <v>2129.95</v>
      </c>
      <c r="Q38" s="49">
        <v>2346.56</v>
      </c>
      <c r="R38" s="49">
        <v>2558.82</v>
      </c>
      <c r="S38" s="49">
        <v>2803.1</v>
      </c>
      <c r="T38" s="49">
        <v>3061.92</v>
      </c>
      <c r="U38" s="49">
        <v>3011.39</v>
      </c>
      <c r="V38" s="49">
        <v>3126.7</v>
      </c>
      <c r="W38" s="49">
        <v>3194.18</v>
      </c>
      <c r="X38" s="49">
        <v>3372.48</v>
      </c>
      <c r="Y38" s="48">
        <f>2936.13+424.19</f>
        <v>3360.32</v>
      </c>
      <c r="Z38" s="57">
        <v>3571.91</v>
      </c>
      <c r="AA38" s="57">
        <v>3404.32</v>
      </c>
      <c r="AB38" s="48">
        <v>3713.24</v>
      </c>
      <c r="AC38" s="48">
        <v>3941.14</v>
      </c>
      <c r="AD38" s="57"/>
      <c r="AE38" s="96">
        <v>3669.49</v>
      </c>
      <c r="AF38" s="96">
        <v>241.82</v>
      </c>
      <c r="AG38" s="163">
        <v>86.77</v>
      </c>
      <c r="AH38" s="163">
        <v>799.09</v>
      </c>
      <c r="AI38" s="163">
        <f>SUM(AE38:AH38)</f>
        <v>4797.17</v>
      </c>
      <c r="AK38" s="3">
        <v>3792</v>
      </c>
      <c r="AL38" s="3">
        <v>222</v>
      </c>
      <c r="AM38" s="3">
        <v>104</v>
      </c>
      <c r="AN38" s="3">
        <v>843</v>
      </c>
      <c r="AO38" s="163">
        <f>SUM(AK38:AN38)</f>
        <v>4961</v>
      </c>
      <c r="AQ38" s="241">
        <v>4027.2624625365693</v>
      </c>
      <c r="AR38" s="241">
        <v>260.43084864669646</v>
      </c>
      <c r="AS38" s="96">
        <v>105.68228017076852</v>
      </c>
      <c r="AT38" s="241">
        <v>900.8786677348355</v>
      </c>
      <c r="AU38" s="163">
        <f>SUM(AQ38:AT38)</f>
        <v>5294.25425908887</v>
      </c>
      <c r="AW38" s="241">
        <v>4027.2624625365693</v>
      </c>
      <c r="AX38" s="241">
        <v>260.43084864669646</v>
      </c>
      <c r="AY38" s="96">
        <v>105.68228017076852</v>
      </c>
      <c r="AZ38" s="241">
        <v>900.8786677348355</v>
      </c>
      <c r="BA38" s="163">
        <f>SUM(AW38:AZ38)</f>
        <v>5294.25425908887</v>
      </c>
      <c r="BB38" s="3">
        <f>AU38-BA38</f>
        <v>0</v>
      </c>
      <c r="BD38" s="3">
        <v>4408.2232954393585</v>
      </c>
      <c r="BE38" s="3">
        <v>290.7786876770859</v>
      </c>
      <c r="BF38" s="3">
        <v>107.39358650272311</v>
      </c>
      <c r="BG38" s="3">
        <v>1003.7171585909226</v>
      </c>
      <c r="BH38" s="163">
        <f>SUM(BD38:BG38)</f>
        <v>5810.112728210091</v>
      </c>
      <c r="BJ38" s="3">
        <v>4684.363816339711</v>
      </c>
      <c r="BK38" s="3">
        <v>308.8944603683136</v>
      </c>
      <c r="BL38" s="3">
        <v>162.35669764273715</v>
      </c>
      <c r="BM38" s="3">
        <v>1126.5767939263928</v>
      </c>
      <c r="BN38" s="163">
        <f>SUM(BJ38:BM38)</f>
        <v>6282.191768277155</v>
      </c>
      <c r="BP38" s="269">
        <v>4851.967061211767</v>
      </c>
      <c r="BQ38" s="3">
        <v>288.2235747058243</v>
      </c>
      <c r="BR38" s="3">
        <v>129.4021812251191</v>
      </c>
      <c r="BS38" s="3">
        <v>1160.522505200697</v>
      </c>
      <c r="BT38" s="163">
        <f>SUM(BP38:BS38)</f>
        <v>6430.115322343408</v>
      </c>
      <c r="BV38" s="269">
        <v>4944.608565501669</v>
      </c>
      <c r="BW38" s="3">
        <v>310.6168100910993</v>
      </c>
      <c r="BX38" s="3">
        <v>150.2345116420531</v>
      </c>
      <c r="BY38" s="3">
        <v>1245.2260747182452</v>
      </c>
      <c r="BZ38" s="163">
        <f>SUM(BV38:BY38)</f>
        <v>6650.685961953066</v>
      </c>
    </row>
    <row r="39" spans="1:78" ht="15.75">
      <c r="A39" s="17" t="s">
        <v>29</v>
      </c>
      <c r="B39" s="88">
        <v>4886.01</v>
      </c>
      <c r="C39" s="88">
        <v>5391.77</v>
      </c>
      <c r="D39" s="88">
        <v>6083.15</v>
      </c>
      <c r="E39" s="88">
        <v>6079.91</v>
      </c>
      <c r="F39" s="88">
        <v>6412</v>
      </c>
      <c r="G39" s="88">
        <v>6808.731861677505</v>
      </c>
      <c r="H39" s="88">
        <v>7442.49479206674</v>
      </c>
      <c r="I39" s="88">
        <v>8152.462659885725</v>
      </c>
      <c r="J39" s="88">
        <v>8575.630978806168</v>
      </c>
      <c r="K39" s="88">
        <v>8554.235070744662</v>
      </c>
      <c r="L39" s="251">
        <f>(K39-J39)*100/J39</f>
        <v>-0.24949660397449233</v>
      </c>
      <c r="M39" s="250">
        <f>((K39-AC39)*100)/AC39</f>
        <v>95.15869773236712</v>
      </c>
      <c r="N39" s="49">
        <v>2268.3</v>
      </c>
      <c r="O39" s="49">
        <v>2438.49</v>
      </c>
      <c r="P39" s="49">
        <v>2807.39</v>
      </c>
      <c r="Q39" s="49">
        <v>2974.11</v>
      </c>
      <c r="R39" s="49">
        <v>3148.62</v>
      </c>
      <c r="S39" s="49">
        <v>3398.76</v>
      </c>
      <c r="T39" s="49">
        <v>3595.32</v>
      </c>
      <c r="U39" s="49">
        <v>3654.59</v>
      </c>
      <c r="V39" s="49">
        <v>3726.03</v>
      </c>
      <c r="W39" s="49">
        <v>3840.38</v>
      </c>
      <c r="X39" s="49">
        <v>3875.69</v>
      </c>
      <c r="Y39" s="48">
        <f>3406.86+449.39</f>
        <v>3856.25</v>
      </c>
      <c r="Z39" s="58">
        <v>4034.53</v>
      </c>
      <c r="AA39" s="58">
        <v>3881.84</v>
      </c>
      <c r="AB39" s="88">
        <v>4144.52</v>
      </c>
      <c r="AC39" s="88">
        <v>4383.22</v>
      </c>
      <c r="AD39" s="58"/>
      <c r="AE39" s="97">
        <v>4640.8</v>
      </c>
      <c r="AF39" s="97">
        <v>370.29</v>
      </c>
      <c r="AG39" s="163">
        <v>140.95</v>
      </c>
      <c r="AH39" s="163">
        <v>927.87</v>
      </c>
      <c r="AI39" s="163">
        <f>SUM(AE39:AH39)</f>
        <v>6079.91</v>
      </c>
      <c r="AK39" s="3">
        <v>4878</v>
      </c>
      <c r="AL39" s="3">
        <v>351</v>
      </c>
      <c r="AM39" s="3">
        <v>160</v>
      </c>
      <c r="AN39" s="3">
        <v>1023</v>
      </c>
      <c r="AO39" s="163">
        <f>SUM(AK39:AN39)</f>
        <v>6412</v>
      </c>
      <c r="AQ39" s="241">
        <v>5158.827263828074</v>
      </c>
      <c r="AR39" s="241">
        <v>341.7373754543592</v>
      </c>
      <c r="AS39" s="97">
        <v>193.28025254403204</v>
      </c>
      <c r="AT39" s="241">
        <v>1114.8869698510387</v>
      </c>
      <c r="AU39" s="163">
        <f>SUM(AQ39:AT39)</f>
        <v>6808.731861677505</v>
      </c>
      <c r="AW39" s="241">
        <v>5158.827263828074</v>
      </c>
      <c r="AX39" s="241">
        <v>341.7373754543592</v>
      </c>
      <c r="AY39" s="97">
        <v>193.28025254403204</v>
      </c>
      <c r="AZ39" s="241">
        <v>1114.8869698510387</v>
      </c>
      <c r="BA39" s="163">
        <f>SUM(AW39:AZ39)</f>
        <v>6808.731861677505</v>
      </c>
      <c r="BB39" s="3">
        <f>AU39-BA39</f>
        <v>0</v>
      </c>
      <c r="BD39" s="3">
        <v>5524.587493367618</v>
      </c>
      <c r="BE39" s="3">
        <v>409.3790026561474</v>
      </c>
      <c r="BF39" s="3">
        <v>244.2246267374713</v>
      </c>
      <c r="BG39" s="3">
        <v>1264.3036693055033</v>
      </c>
      <c r="BH39" s="163">
        <f>SUM(BD39:BG39)</f>
        <v>7442.49479206674</v>
      </c>
      <c r="BJ39" s="3">
        <v>6087.472262986168</v>
      </c>
      <c r="BK39" s="3">
        <v>365.4401816761385</v>
      </c>
      <c r="BL39" s="3">
        <v>274.9380830563257</v>
      </c>
      <c r="BM39" s="3">
        <v>1424.6121321670928</v>
      </c>
      <c r="BN39" s="163">
        <f>SUM(BJ39:BM39)</f>
        <v>8152.462659885725</v>
      </c>
      <c r="BP39" s="271">
        <v>6437.631120818733</v>
      </c>
      <c r="BQ39" s="3">
        <v>385.11276415108904</v>
      </c>
      <c r="BR39" s="3">
        <v>248.7053131222697</v>
      </c>
      <c r="BS39" s="3">
        <v>1504.1817807140762</v>
      </c>
      <c r="BT39" s="163">
        <f>SUM(BP39:BS39)</f>
        <v>8575.630978806168</v>
      </c>
      <c r="BV39" s="271">
        <v>6384.398530061636</v>
      </c>
      <c r="BW39" s="3">
        <v>390.69616932201427</v>
      </c>
      <c r="BX39" s="3">
        <v>194.77518005969685</v>
      </c>
      <c r="BY39" s="3">
        <v>1584.3651913013143</v>
      </c>
      <c r="BZ39" s="163">
        <f>SUM(BV39:BY39)</f>
        <v>8554.235070744662</v>
      </c>
    </row>
    <row r="40" spans="1:25" ht="12.75">
      <c r="A40" s="1" t="s">
        <v>301</v>
      </c>
      <c r="B40" s="18"/>
      <c r="C40" s="18"/>
      <c r="D40" s="18"/>
      <c r="E40" s="212"/>
      <c r="F40" s="212"/>
      <c r="G40" s="212"/>
      <c r="H40" s="212"/>
      <c r="I40" s="212"/>
      <c r="J40" s="212"/>
      <c r="K40" s="212"/>
      <c r="L40" s="294"/>
      <c r="M40" s="18"/>
      <c r="N40" s="37"/>
      <c r="O40" s="18"/>
      <c r="P40" s="18"/>
      <c r="Q40" s="18"/>
      <c r="Y40" s="18"/>
    </row>
    <row r="41" spans="5:14" ht="12.75">
      <c r="E41" s="212"/>
      <c r="F41" s="212"/>
      <c r="G41" s="212"/>
      <c r="H41" s="212"/>
      <c r="I41" s="212"/>
      <c r="J41" s="212"/>
      <c r="K41" s="212"/>
      <c r="L41" s="294"/>
      <c r="N41" s="30"/>
    </row>
    <row r="42" spans="1:17" ht="12.75">
      <c r="A42" s="1" t="s">
        <v>235</v>
      </c>
      <c r="O42" s="14"/>
      <c r="P42" s="14"/>
      <c r="Q42" s="14"/>
    </row>
    <row r="43" spans="15:17" ht="12.75">
      <c r="O43" s="14"/>
      <c r="P43" s="14"/>
      <c r="Q43" s="14"/>
    </row>
    <row r="44" spans="15:17" ht="12.75">
      <c r="O44" s="14"/>
      <c r="P44" s="14"/>
      <c r="Q44" s="14"/>
    </row>
    <row r="45" spans="15:17" ht="12.75">
      <c r="O45" s="14"/>
      <c r="P45" s="14"/>
      <c r="Q45" s="14"/>
    </row>
    <row r="46" spans="15:17" ht="12.75">
      <c r="O46" s="14"/>
      <c r="P46" s="14"/>
      <c r="Q46" s="14"/>
    </row>
  </sheetData>
  <sheetProtection password="CAF5" sheet="1"/>
  <mergeCells count="1">
    <mergeCell ref="A4:M4"/>
  </mergeCells>
  <printOptions/>
  <pageMargins left="0.54" right="0.54" top="0.74" bottom="0.48" header="0.5" footer="0.32"/>
  <pageSetup fitToHeight="1" fitToWidth="1" orientation="landscape" scale="76" r:id="rId3"/>
  <headerFooter scaleWithDoc="0" alignWithMargins="0">
    <oddFooter>&amp;L&amp;"Arial,Italic"&amp;10MSDE-LFRO  10 / 2011&amp;C&amp;"Arial,Regular"&amp;10- 16 -&amp;R&amp;"Arial,Italic"&amp;10Selected Financial Data - Part 4</oddFooter>
  </headerFooter>
  <rowBreaks count="1" manualBreakCount="1">
    <brk id="41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6"/>
  <sheetViews>
    <sheetView zoomScalePageLayoutView="0" workbookViewId="0" topLeftCell="A34">
      <selection activeCell="C3" sqref="C3"/>
    </sheetView>
  </sheetViews>
  <sheetFormatPr defaultColWidth="10.00390625" defaultRowHeight="15.75"/>
  <cols>
    <col min="1" max="1" width="12.875" style="1" customWidth="1"/>
    <col min="2" max="4" width="12.625" style="1" customWidth="1"/>
    <col min="5" max="5" width="12.625" style="59" customWidth="1"/>
    <col min="6" max="11" width="12.625" style="61" customWidth="1"/>
    <col min="12" max="12" width="6.625" style="61" customWidth="1"/>
    <col min="13" max="13" width="6.625" style="1" customWidth="1"/>
    <col min="14" max="14" width="7.125" style="1" customWidth="1"/>
    <col min="15" max="21" width="10.125" style="1" customWidth="1"/>
    <col min="22" max="22" width="8.625" style="1" bestFit="1" customWidth="1"/>
    <col min="23" max="24" width="12.75390625" style="1" customWidth="1"/>
    <col min="25" max="25" width="12.625" style="1" customWidth="1"/>
    <col min="26" max="26" width="11.125" style="1" bestFit="1" customWidth="1"/>
    <col min="27" max="28" width="11.125" style="1" customWidth="1"/>
    <col min="29" max="29" width="8.375" style="1" bestFit="1" customWidth="1"/>
    <col min="30" max="30" width="8.375" style="1" customWidth="1"/>
    <col min="31" max="31" width="11.125" style="3" bestFit="1" customWidth="1"/>
    <col min="32" max="32" width="10.125" style="3" customWidth="1"/>
    <col min="33" max="33" width="3.25390625" style="3" customWidth="1"/>
    <col min="34" max="34" width="11.125" style="3" bestFit="1" customWidth="1"/>
    <col min="35" max="35" width="10.125" style="3" customWidth="1"/>
    <col min="36" max="36" width="2.875" style="3" customWidth="1"/>
    <col min="37" max="37" width="12.125" style="3" customWidth="1"/>
    <col min="38" max="38" width="10.125" style="3" customWidth="1"/>
    <col min="39" max="39" width="3.50390625" style="3" customWidth="1"/>
    <col min="40" max="40" width="11.125" style="3" bestFit="1" customWidth="1"/>
    <col min="41" max="42" width="10.125" style="3" customWidth="1"/>
    <col min="43" max="43" width="11.125" style="3" bestFit="1" customWidth="1"/>
    <col min="44" max="44" width="10.125" style="3" customWidth="1"/>
    <col min="45" max="45" width="5.625" style="3" customWidth="1"/>
    <col min="46" max="46" width="11.125" style="3" bestFit="1" customWidth="1"/>
    <col min="47" max="47" width="10.125" style="3" customWidth="1"/>
    <col min="48" max="48" width="4.75390625" style="3" customWidth="1"/>
    <col min="49" max="49" width="11.125" style="3" bestFit="1" customWidth="1"/>
    <col min="50" max="51" width="10.00390625" style="3" customWidth="1"/>
    <col min="52" max="52" width="11.125" style="3" bestFit="1" customWidth="1"/>
    <col min="53" max="54" width="10.00390625" style="3" customWidth="1"/>
    <col min="55" max="55" width="15.25390625" style="3" bestFit="1" customWidth="1"/>
    <col min="56" max="16384" width="10.00390625" style="3" customWidth="1"/>
  </cols>
  <sheetData>
    <row r="1" spans="1:25" ht="15.75" customHeight="1">
      <c r="A1" s="118" t="s">
        <v>99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2"/>
      <c r="O1" s="2"/>
      <c r="P1" s="2"/>
      <c r="Q1" s="2"/>
      <c r="Y1" s="117"/>
    </row>
    <row r="2" spans="1:25" ht="12.75">
      <c r="A2" s="115"/>
      <c r="B2" s="115"/>
      <c r="C2" s="115"/>
      <c r="D2" s="115"/>
      <c r="E2" s="118"/>
      <c r="F2" s="118"/>
      <c r="G2" s="118"/>
      <c r="H2" s="118"/>
      <c r="I2" s="118"/>
      <c r="J2" s="118"/>
      <c r="K2" s="118"/>
      <c r="L2" s="118"/>
      <c r="M2" s="115"/>
      <c r="N2" s="2"/>
      <c r="O2" s="2"/>
      <c r="P2" s="2"/>
      <c r="Q2" s="2"/>
      <c r="Y2" s="115"/>
    </row>
    <row r="3" spans="1:25" ht="15.75">
      <c r="A3" s="115" t="s">
        <v>236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86"/>
      <c r="O3" s="86"/>
      <c r="P3" s="86"/>
      <c r="Q3" s="86"/>
      <c r="Y3" s="119"/>
    </row>
    <row r="4" spans="1:34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201"/>
      <c r="P4" s="201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1"/>
    </row>
    <row r="5" spans="4:55" ht="13.5" thickBot="1">
      <c r="D5" s="11"/>
      <c r="E5" s="11"/>
      <c r="F5" s="59"/>
      <c r="G5" s="59"/>
      <c r="H5" s="59"/>
      <c r="I5" s="59"/>
      <c r="J5" s="59"/>
      <c r="K5" s="59"/>
      <c r="L5" s="59"/>
      <c r="N5" s="7"/>
      <c r="O5" s="7"/>
      <c r="P5" s="7"/>
      <c r="Q5" s="7"/>
      <c r="AE5" s="40" t="s">
        <v>161</v>
      </c>
      <c r="AH5" s="40" t="s">
        <v>168</v>
      </c>
      <c r="AK5" s="40" t="s">
        <v>184</v>
      </c>
      <c r="AN5" s="3" t="s">
        <v>194</v>
      </c>
      <c r="AQ5" s="3" t="s">
        <v>208</v>
      </c>
      <c r="AT5" s="3" t="s">
        <v>243</v>
      </c>
      <c r="AW5" s="3" t="s">
        <v>256</v>
      </c>
      <c r="AZ5" s="3" t="s">
        <v>269</v>
      </c>
      <c r="BC5" s="3" t="s">
        <v>284</v>
      </c>
    </row>
    <row r="6" spans="1:55" ht="13.5" thickTop="1">
      <c r="A6" s="5"/>
      <c r="B6" s="60"/>
      <c r="C6" s="60"/>
      <c r="D6" s="5"/>
      <c r="E6" s="5"/>
      <c r="F6" s="5"/>
      <c r="G6" s="219"/>
      <c r="H6" s="219"/>
      <c r="I6" s="219"/>
      <c r="J6" s="219"/>
      <c r="K6" s="21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7"/>
      <c r="AE6" s="1" t="s">
        <v>119</v>
      </c>
      <c r="AF6" s="1"/>
      <c r="AH6" s="1" t="s">
        <v>119</v>
      </c>
      <c r="AK6" s="1" t="s">
        <v>119</v>
      </c>
      <c r="AN6" s="3" t="s">
        <v>119</v>
      </c>
      <c r="AQ6" s="3" t="s">
        <v>119</v>
      </c>
      <c r="AT6" s="3" t="s">
        <v>119</v>
      </c>
      <c r="AW6" s="3" t="s">
        <v>119</v>
      </c>
      <c r="AZ6" s="3" t="s">
        <v>119</v>
      </c>
      <c r="BC6" s="3" t="s">
        <v>119</v>
      </c>
    </row>
    <row r="7" spans="1:55" ht="12.75" customHeight="1">
      <c r="A7" s="7"/>
      <c r="B7" s="59"/>
      <c r="C7" s="59"/>
      <c r="E7" s="1"/>
      <c r="F7" s="1"/>
      <c r="G7" s="305"/>
      <c r="H7" s="305"/>
      <c r="I7" s="305"/>
      <c r="J7" s="305"/>
      <c r="K7" s="305"/>
      <c r="L7" s="6" t="s">
        <v>34</v>
      </c>
      <c r="M7" s="6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C7" s="7"/>
      <c r="AD7" s="7"/>
      <c r="AE7" s="1" t="s">
        <v>89</v>
      </c>
      <c r="AF7" s="1"/>
      <c r="AH7" s="1" t="s">
        <v>89</v>
      </c>
      <c r="AK7" s="1" t="s">
        <v>89</v>
      </c>
      <c r="AN7" s="3" t="s">
        <v>89</v>
      </c>
      <c r="AQ7" s="3" t="s">
        <v>89</v>
      </c>
      <c r="AT7" s="3" t="s">
        <v>89</v>
      </c>
      <c r="AW7" s="3" t="s">
        <v>89</v>
      </c>
      <c r="AZ7" s="3" t="s">
        <v>89</v>
      </c>
      <c r="BC7" s="3" t="s">
        <v>89</v>
      </c>
    </row>
    <row r="8" spans="1:55" ht="12.75" customHeight="1">
      <c r="A8" s="7"/>
      <c r="B8" s="63"/>
      <c r="C8" s="63"/>
      <c r="D8" s="7"/>
      <c r="E8" s="7"/>
      <c r="F8" s="7"/>
      <c r="G8" s="305"/>
      <c r="H8" s="305"/>
      <c r="I8" s="305"/>
      <c r="J8" s="305"/>
      <c r="K8" s="305"/>
      <c r="L8" s="10" t="s">
        <v>85</v>
      </c>
      <c r="M8" s="10" t="s">
        <v>86</v>
      </c>
      <c r="N8" s="17"/>
      <c r="O8" s="17"/>
      <c r="P8" s="17"/>
      <c r="Q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" t="s">
        <v>120</v>
      </c>
      <c r="AF8" s="1"/>
      <c r="AH8" s="1" t="s">
        <v>120</v>
      </c>
      <c r="AK8" s="1" t="s">
        <v>120</v>
      </c>
      <c r="AN8" s="3" t="s">
        <v>120</v>
      </c>
      <c r="AQ8" s="3" t="s">
        <v>120</v>
      </c>
      <c r="AT8" s="3" t="s">
        <v>120</v>
      </c>
      <c r="AW8" s="3" t="s">
        <v>120</v>
      </c>
      <c r="AZ8" s="3" t="s">
        <v>120</v>
      </c>
      <c r="BC8" s="3" t="s">
        <v>120</v>
      </c>
    </row>
    <row r="9" spans="1:32" ht="13.5" thickBot="1">
      <c r="A9" s="8" t="s">
        <v>1</v>
      </c>
      <c r="B9" s="9" t="s">
        <v>105</v>
      </c>
      <c r="C9" s="9" t="s">
        <v>161</v>
      </c>
      <c r="D9" s="9" t="s">
        <v>168</v>
      </c>
      <c r="E9" s="9" t="s">
        <v>184</v>
      </c>
      <c r="F9" s="9" t="s">
        <v>194</v>
      </c>
      <c r="G9" s="9" t="s">
        <v>208</v>
      </c>
      <c r="H9" s="9" t="s">
        <v>243</v>
      </c>
      <c r="I9" s="9" t="s">
        <v>256</v>
      </c>
      <c r="J9" s="9" t="s">
        <v>269</v>
      </c>
      <c r="K9" s="9" t="s">
        <v>284</v>
      </c>
      <c r="L9" s="9" t="s">
        <v>84</v>
      </c>
      <c r="M9" s="9" t="s">
        <v>84</v>
      </c>
      <c r="N9" s="66" t="s">
        <v>55</v>
      </c>
      <c r="O9" s="66" t="s">
        <v>53</v>
      </c>
      <c r="P9" s="66" t="s">
        <v>73</v>
      </c>
      <c r="Q9" s="9" t="s">
        <v>74</v>
      </c>
      <c r="R9" s="9" t="s">
        <v>75</v>
      </c>
      <c r="S9" s="9" t="s">
        <v>76</v>
      </c>
      <c r="T9" s="9" t="s">
        <v>77</v>
      </c>
      <c r="U9" s="9" t="s">
        <v>50</v>
      </c>
      <c r="V9" s="9" t="s">
        <v>54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9"/>
      <c r="AE9" s="1"/>
      <c r="AF9" s="1"/>
    </row>
    <row r="10" spans="1:56" ht="15.75">
      <c r="A10" s="7" t="s">
        <v>5</v>
      </c>
      <c r="B10" s="11">
        <f aca="true" t="shared" si="0" ref="B10:G10">SUM(B12:B39)</f>
        <v>142702</v>
      </c>
      <c r="C10" s="11">
        <f t="shared" si="0"/>
        <v>339646</v>
      </c>
      <c r="D10" s="11">
        <f t="shared" si="0"/>
        <v>356969</v>
      </c>
      <c r="E10" s="11">
        <f t="shared" si="0"/>
        <v>382106</v>
      </c>
      <c r="F10" s="11">
        <f t="shared" si="0"/>
        <v>418461</v>
      </c>
      <c r="G10" s="11">
        <f t="shared" si="0"/>
        <v>469096.999</v>
      </c>
      <c r="H10" s="11">
        <v>547383.44384625</v>
      </c>
      <c r="I10" s="11">
        <v>639117.952</v>
      </c>
      <c r="J10" s="11">
        <f>SUM(J12:J39)</f>
        <v>728060.012</v>
      </c>
      <c r="K10" s="11">
        <f>SUM(K12:K39)</f>
        <v>772370.442</v>
      </c>
      <c r="L10" s="244">
        <f>(K10-J10)*100/J10</f>
        <v>6.086095825847946</v>
      </c>
      <c r="M10" s="250">
        <f>((K10-AC10)*100)/AC10</f>
        <v>455.80105878252886</v>
      </c>
      <c r="N10" s="67">
        <f aca="true" t="shared" si="1" ref="N10:S10">SUM(N12:N39)</f>
        <v>54322</v>
      </c>
      <c r="O10" s="67">
        <f t="shared" si="1"/>
        <v>59642</v>
      </c>
      <c r="P10" s="67">
        <f t="shared" si="1"/>
        <v>65476</v>
      </c>
      <c r="Q10" s="11">
        <f t="shared" si="1"/>
        <v>72208</v>
      </c>
      <c r="R10" s="11">
        <f t="shared" si="1"/>
        <v>79239</v>
      </c>
      <c r="S10" s="11">
        <f t="shared" si="1"/>
        <v>86994</v>
      </c>
      <c r="T10" s="11">
        <f aca="true" t="shared" si="2" ref="T10:Z10">SUM(T12:T39)</f>
        <v>94400</v>
      </c>
      <c r="U10" s="11">
        <f t="shared" si="2"/>
        <v>102582</v>
      </c>
      <c r="V10" s="11">
        <f t="shared" si="2"/>
        <v>111795</v>
      </c>
      <c r="W10" s="11">
        <f t="shared" si="2"/>
        <v>117635</v>
      </c>
      <c r="X10" s="11">
        <f t="shared" si="2"/>
        <v>121072</v>
      </c>
      <c r="Y10" s="11">
        <f t="shared" si="2"/>
        <v>123319</v>
      </c>
      <c r="Z10" s="11">
        <f t="shared" si="2"/>
        <v>127364</v>
      </c>
      <c r="AA10" s="11">
        <f>SUM(AA12:AA39)</f>
        <v>130462</v>
      </c>
      <c r="AB10" s="11">
        <f>SUM(AB12:AB39)</f>
        <v>134108</v>
      </c>
      <c r="AC10" s="11">
        <f>SUM(AC12:AC39)</f>
        <v>138965.27000000002</v>
      </c>
      <c r="AD10" s="11"/>
      <c r="AE10" s="11">
        <f>SUM(AE12:AE39)</f>
        <v>339642268</v>
      </c>
      <c r="AF10" s="1"/>
      <c r="AH10" s="11">
        <f>SUM(AH12:AH39)</f>
        <v>356968969</v>
      </c>
      <c r="AK10" s="11">
        <f>SUM(AK12:AK39)</f>
        <v>382105908</v>
      </c>
      <c r="AN10" s="11">
        <f>SUM(AN12:AN39)</f>
        <v>418460091.5</v>
      </c>
      <c r="AO10" s="11">
        <f>SUM(AO12:AO39)</f>
        <v>418460.0915</v>
      </c>
      <c r="AQ10" s="11">
        <f>SUM(AQ12:AQ39)</f>
        <v>469096999</v>
      </c>
      <c r="AR10" s="11">
        <f>SUM(AR12:AR39)</f>
        <v>469096.999</v>
      </c>
      <c r="AT10" s="11">
        <f>SUM(AT12:AT39)</f>
        <v>547383443.84625</v>
      </c>
      <c r="AU10" s="11">
        <f>SUM(AU12:AU39)</f>
        <v>547383.44384625</v>
      </c>
      <c r="AW10" s="11">
        <f>SUM(AW12:AW39)</f>
        <v>639117952</v>
      </c>
      <c r="AX10" s="11">
        <f>SUM(AX12:AX39)</f>
        <v>639117.952</v>
      </c>
      <c r="AZ10" s="11">
        <f>SUM(AZ12:AZ39)</f>
        <v>728060012</v>
      </c>
      <c r="BA10" s="11">
        <f>SUM(BA12:BA39)</f>
        <v>728060.012</v>
      </c>
      <c r="BC10" s="281">
        <f>SUM(BC12:BC39)</f>
        <v>772370442</v>
      </c>
      <c r="BD10" s="11">
        <f>SUM(BD12:BD39)</f>
        <v>772370.442</v>
      </c>
    </row>
    <row r="11" spans="2:55" ht="15.75">
      <c r="B11" s="59"/>
      <c r="C11" s="59"/>
      <c r="D11" s="59"/>
      <c r="F11" s="59"/>
      <c r="G11" s="59"/>
      <c r="H11" s="59"/>
      <c r="I11" s="59"/>
      <c r="J11" s="59"/>
      <c r="K11" s="59"/>
      <c r="L11" s="1"/>
      <c r="M11" s="89"/>
      <c r="O11" s="14"/>
      <c r="R11" s="14"/>
      <c r="S11" s="14"/>
      <c r="X11" s="14"/>
      <c r="Y11" s="14"/>
      <c r="Z11" s="61"/>
      <c r="AA11" s="83"/>
      <c r="AB11" s="61"/>
      <c r="AC11" s="61"/>
      <c r="AD11" s="61"/>
      <c r="AE11" s="1"/>
      <c r="AF11" s="1"/>
      <c r="BC11" s="281">
        <v>772370442</v>
      </c>
    </row>
    <row r="12" spans="1:56" ht="15.75">
      <c r="A12" s="1" t="s">
        <v>6</v>
      </c>
      <c r="B12" s="63">
        <v>1510</v>
      </c>
      <c r="C12" s="63">
        <v>2605</v>
      </c>
      <c r="D12" s="63">
        <v>2565</v>
      </c>
      <c r="E12" s="63">
        <v>2604</v>
      </c>
      <c r="F12" s="63">
        <v>2679</v>
      </c>
      <c r="G12" s="63">
        <v>2769.308</v>
      </c>
      <c r="H12" s="63">
        <v>2926.109</v>
      </c>
      <c r="I12" s="63">
        <v>3095.293</v>
      </c>
      <c r="J12" s="63">
        <v>3411.03</v>
      </c>
      <c r="K12" s="63">
        <v>3816.56</v>
      </c>
      <c r="L12" s="244">
        <f aca="true" t="shared" si="3" ref="L12:L39">(K12-J12)*100/J12</f>
        <v>11.888784326141948</v>
      </c>
      <c r="M12" s="250">
        <f aca="true" t="shared" si="4" ref="M12:M39">((K12-AC12)*100)/AC12</f>
        <v>145.22347014829472</v>
      </c>
      <c r="N12" s="14">
        <v>715</v>
      </c>
      <c r="O12" s="14">
        <v>775</v>
      </c>
      <c r="P12" s="14">
        <v>844</v>
      </c>
      <c r="Q12" s="27">
        <v>854</v>
      </c>
      <c r="R12" s="27">
        <v>853</v>
      </c>
      <c r="S12" s="27">
        <v>901</v>
      </c>
      <c r="T12" s="27">
        <v>991</v>
      </c>
      <c r="U12" s="27">
        <v>1131</v>
      </c>
      <c r="V12" s="27">
        <v>1168</v>
      </c>
      <c r="W12" s="27">
        <v>1189</v>
      </c>
      <c r="X12" s="14">
        <v>1204</v>
      </c>
      <c r="Y12" s="14">
        <v>1184</v>
      </c>
      <c r="Z12" s="61">
        <v>1175</v>
      </c>
      <c r="AA12" s="83">
        <v>1177</v>
      </c>
      <c r="AB12" s="61">
        <v>1320</v>
      </c>
      <c r="AC12" s="61">
        <v>1556.36</v>
      </c>
      <c r="AD12" s="61"/>
      <c r="AE12" s="128">
        <v>2604574</v>
      </c>
      <c r="AF12" s="1">
        <f>AE12/1000</f>
        <v>2604.574</v>
      </c>
      <c r="AH12" s="3">
        <v>2565195</v>
      </c>
      <c r="AI12" s="1">
        <f>AH12/1000</f>
        <v>2565.195</v>
      </c>
      <c r="AK12" s="3">
        <v>2604327</v>
      </c>
      <c r="AL12" s="1">
        <f>AK12/1000</f>
        <v>2604.327</v>
      </c>
      <c r="AN12" s="3">
        <v>2679375</v>
      </c>
      <c r="AO12" s="1">
        <f>AN12/1000</f>
        <v>2679.375</v>
      </c>
      <c r="AQ12" s="3">
        <v>2769308</v>
      </c>
      <c r="AR12" s="1">
        <f>AQ12/1000</f>
        <v>2769.308</v>
      </c>
      <c r="AT12" s="3">
        <v>2926109</v>
      </c>
      <c r="AU12" s="1">
        <f>AT12/1000</f>
        <v>2926.109</v>
      </c>
      <c r="AW12" s="3">
        <v>3095293</v>
      </c>
      <c r="AX12" s="1">
        <f>AW12/1000</f>
        <v>3095.293</v>
      </c>
      <c r="AZ12" s="3">
        <v>3411030</v>
      </c>
      <c r="BA12" s="1">
        <f>AZ12/1000</f>
        <v>3411.03</v>
      </c>
      <c r="BC12" s="282">
        <v>3816560</v>
      </c>
      <c r="BD12" s="1">
        <f>BC12/1000</f>
        <v>3816.56</v>
      </c>
    </row>
    <row r="13" spans="1:56" ht="15.75">
      <c r="A13" s="1" t="s">
        <v>7</v>
      </c>
      <c r="B13" s="63">
        <v>14939</v>
      </c>
      <c r="C13" s="63">
        <v>35809</v>
      </c>
      <c r="D13" s="63">
        <v>38119</v>
      </c>
      <c r="E13" s="63">
        <v>41298</v>
      </c>
      <c r="F13" s="63">
        <v>46070</v>
      </c>
      <c r="G13" s="63">
        <v>52254.68</v>
      </c>
      <c r="H13" s="63">
        <v>60826.688</v>
      </c>
      <c r="I13" s="63">
        <v>71787.49</v>
      </c>
      <c r="J13" s="63">
        <v>81956.148</v>
      </c>
      <c r="K13" s="63">
        <v>86849.623</v>
      </c>
      <c r="L13" s="244">
        <f t="shared" si="3"/>
        <v>5.9708455307099175</v>
      </c>
      <c r="M13" s="250">
        <f t="shared" si="4"/>
        <v>495.30242316898307</v>
      </c>
      <c r="N13" s="14">
        <v>4883</v>
      </c>
      <c r="O13" s="14">
        <v>5671</v>
      </c>
      <c r="P13" s="14">
        <v>6196</v>
      </c>
      <c r="Q13" s="27">
        <v>6866</v>
      </c>
      <c r="R13" s="27">
        <v>7439</v>
      </c>
      <c r="S13" s="27">
        <v>8221</v>
      </c>
      <c r="T13" s="27">
        <v>9041</v>
      </c>
      <c r="U13" s="27">
        <v>9931</v>
      </c>
      <c r="V13" s="27">
        <v>11346</v>
      </c>
      <c r="W13" s="27">
        <v>12161</v>
      </c>
      <c r="X13" s="14">
        <v>12607</v>
      </c>
      <c r="Y13" s="14">
        <v>12968</v>
      </c>
      <c r="Z13" s="61">
        <v>13328</v>
      </c>
      <c r="AA13" s="83">
        <v>13676</v>
      </c>
      <c r="AB13" s="61">
        <v>14081</v>
      </c>
      <c r="AC13" s="61">
        <v>14589.16</v>
      </c>
      <c r="AD13" s="61"/>
      <c r="AE13" s="128">
        <v>35808505</v>
      </c>
      <c r="AF13" s="1">
        <f>AE13/1000</f>
        <v>35808.505</v>
      </c>
      <c r="AH13" s="3">
        <v>38118944</v>
      </c>
      <c r="AI13" s="1">
        <f>AH13/1000</f>
        <v>38118.944</v>
      </c>
      <c r="AK13" s="3">
        <v>41297966</v>
      </c>
      <c r="AL13" s="1">
        <f>AK13/1000</f>
        <v>41297.966</v>
      </c>
      <c r="AN13" s="3">
        <v>46069922</v>
      </c>
      <c r="AO13" s="1">
        <f>AN13/1000</f>
        <v>46069.922</v>
      </c>
      <c r="AQ13" s="3">
        <v>52254680</v>
      </c>
      <c r="AR13" s="1">
        <f>AQ13/1000</f>
        <v>52254.68</v>
      </c>
      <c r="AT13" s="3">
        <v>60826688</v>
      </c>
      <c r="AU13" s="1">
        <f>AT13/1000</f>
        <v>60826.688</v>
      </c>
      <c r="AW13" s="3">
        <v>71787490</v>
      </c>
      <c r="AX13" s="1">
        <f>AW13/1000</f>
        <v>71787.49</v>
      </c>
      <c r="AZ13" s="3">
        <v>81956148</v>
      </c>
      <c r="BA13" s="1">
        <f>AZ13/1000</f>
        <v>81956.148</v>
      </c>
      <c r="BC13" s="282">
        <v>86849623</v>
      </c>
      <c r="BD13" s="1">
        <f>BC13/1000</f>
        <v>86849.623</v>
      </c>
    </row>
    <row r="14" spans="1:56" ht="15.75">
      <c r="A14" s="1" t="s">
        <v>8</v>
      </c>
      <c r="B14" s="63">
        <v>8722</v>
      </c>
      <c r="C14" s="63">
        <v>19176</v>
      </c>
      <c r="D14" s="63">
        <v>19674</v>
      </c>
      <c r="E14" s="63">
        <v>20219</v>
      </c>
      <c r="F14" s="63">
        <v>21578</v>
      </c>
      <c r="G14" s="63">
        <v>22617.992</v>
      </c>
      <c r="H14" s="63">
        <v>25256.64787175</v>
      </c>
      <c r="I14" s="63">
        <v>29032.305</v>
      </c>
      <c r="J14" s="63">
        <v>33564.63</v>
      </c>
      <c r="K14" s="63">
        <v>38190.377</v>
      </c>
      <c r="L14" s="244">
        <f t="shared" si="3"/>
        <v>13.781611774060979</v>
      </c>
      <c r="M14" s="250">
        <f t="shared" si="4"/>
        <v>345.12381522940143</v>
      </c>
      <c r="N14" s="14">
        <v>5108</v>
      </c>
      <c r="O14" s="14">
        <v>5514</v>
      </c>
      <c r="P14" s="14">
        <v>5967</v>
      </c>
      <c r="Q14" s="27">
        <v>6521</v>
      </c>
      <c r="R14" s="27">
        <v>7035</v>
      </c>
      <c r="S14" s="27">
        <v>7582</v>
      </c>
      <c r="T14" s="27">
        <v>7895</v>
      </c>
      <c r="U14" s="27">
        <v>8217</v>
      </c>
      <c r="V14" s="27">
        <v>8310</v>
      </c>
      <c r="W14" s="27">
        <v>8456</v>
      </c>
      <c r="X14" s="14">
        <v>8512</v>
      </c>
      <c r="Y14" s="14">
        <v>8443</v>
      </c>
      <c r="Z14" s="61">
        <v>8394</v>
      </c>
      <c r="AA14" s="83">
        <v>8365</v>
      </c>
      <c r="AB14" s="61">
        <v>8526</v>
      </c>
      <c r="AC14" s="61">
        <v>8579.72</v>
      </c>
      <c r="AD14" s="61"/>
      <c r="AE14" s="128">
        <v>19176195</v>
      </c>
      <c r="AF14" s="1">
        <f>AE14/1000</f>
        <v>19176.195</v>
      </c>
      <c r="AH14" s="3">
        <v>19674089</v>
      </c>
      <c r="AI14" s="1">
        <f>AH14/1000</f>
        <v>19674.089</v>
      </c>
      <c r="AK14" s="3">
        <v>20218975</v>
      </c>
      <c r="AL14" s="1">
        <f>AK14/1000</f>
        <v>20218.975</v>
      </c>
      <c r="AN14" s="3">
        <v>21577606</v>
      </c>
      <c r="AO14" s="1">
        <f>AN14/1000</f>
        <v>21577.606</v>
      </c>
      <c r="AQ14" s="3">
        <v>22617992</v>
      </c>
      <c r="AR14" s="1">
        <f>AQ14/1000</f>
        <v>22617.992</v>
      </c>
      <c r="AT14" s="3">
        <v>25256647.87175</v>
      </c>
      <c r="AU14" s="1">
        <f>AT14/1000</f>
        <v>25256.64787175</v>
      </c>
      <c r="AW14" s="3">
        <v>29032305</v>
      </c>
      <c r="AX14" s="1">
        <f>AW14/1000</f>
        <v>29032.305</v>
      </c>
      <c r="AZ14" s="3">
        <v>33564630</v>
      </c>
      <c r="BA14" s="1">
        <f>AZ14/1000</f>
        <v>33564.63</v>
      </c>
      <c r="BC14" s="282">
        <v>38190377</v>
      </c>
      <c r="BD14" s="1">
        <f>BC14/1000</f>
        <v>38190.377</v>
      </c>
    </row>
    <row r="15" spans="1:56" ht="15.75">
      <c r="A15" s="1" t="s">
        <v>9</v>
      </c>
      <c r="B15" s="63">
        <v>18972</v>
      </c>
      <c r="C15" s="63">
        <v>44465</v>
      </c>
      <c r="D15" s="63">
        <v>46023</v>
      </c>
      <c r="E15" s="63">
        <v>47861</v>
      </c>
      <c r="F15" s="63">
        <v>50534</v>
      </c>
      <c r="G15" s="63">
        <v>55260.331</v>
      </c>
      <c r="H15" s="63">
        <v>62365.607</v>
      </c>
      <c r="I15" s="63">
        <v>72129.48</v>
      </c>
      <c r="J15" s="63">
        <v>81732.183</v>
      </c>
      <c r="K15" s="63">
        <v>88989.97</v>
      </c>
      <c r="L15" s="244">
        <f t="shared" si="3"/>
        <v>8.879962254281152</v>
      </c>
      <c r="M15" s="250">
        <f t="shared" si="4"/>
        <v>382.30876334560554</v>
      </c>
      <c r="N15" s="14">
        <v>8081</v>
      </c>
      <c r="O15" s="14">
        <v>8689</v>
      </c>
      <c r="P15" s="14">
        <v>9494</v>
      </c>
      <c r="Q15" s="27">
        <v>10427</v>
      </c>
      <c r="R15" s="27">
        <v>11273</v>
      </c>
      <c r="S15" s="27">
        <v>12291</v>
      </c>
      <c r="T15" s="27">
        <v>13186</v>
      </c>
      <c r="U15" s="27">
        <v>14131</v>
      </c>
      <c r="V15" s="27">
        <v>15207</v>
      </c>
      <c r="W15" s="27">
        <v>15717</v>
      </c>
      <c r="X15" s="14">
        <v>16220</v>
      </c>
      <c r="Y15" s="14">
        <v>16535</v>
      </c>
      <c r="Z15" s="61">
        <v>16987</v>
      </c>
      <c r="AA15" s="83">
        <v>17355</v>
      </c>
      <c r="AB15" s="61">
        <v>17833</v>
      </c>
      <c r="AC15" s="61">
        <v>18450.83</v>
      </c>
      <c r="AD15" s="61"/>
      <c r="AE15" s="128">
        <v>44464713</v>
      </c>
      <c r="AF15" s="1">
        <f>AE15/1000</f>
        <v>44464.713</v>
      </c>
      <c r="AH15" s="3">
        <v>46023190</v>
      </c>
      <c r="AI15" s="1">
        <f>AH15/1000</f>
        <v>46023.19</v>
      </c>
      <c r="AK15" s="3">
        <v>47861367</v>
      </c>
      <c r="AL15" s="1">
        <f>AK15/1000</f>
        <v>47861.367</v>
      </c>
      <c r="AN15" s="3">
        <v>50533574</v>
      </c>
      <c r="AO15" s="1">
        <f>AN15/1000</f>
        <v>50533.574</v>
      </c>
      <c r="AQ15" s="3">
        <v>55260331</v>
      </c>
      <c r="AR15" s="1">
        <f>AQ15/1000</f>
        <v>55260.331</v>
      </c>
      <c r="AT15" s="3">
        <v>62365607</v>
      </c>
      <c r="AU15" s="1">
        <f>AT15/1000</f>
        <v>62365.607</v>
      </c>
      <c r="AW15" s="3">
        <v>72129480</v>
      </c>
      <c r="AX15" s="1">
        <f>AW15/1000</f>
        <v>72129.48</v>
      </c>
      <c r="AZ15" s="3">
        <v>81732183</v>
      </c>
      <c r="BA15" s="1">
        <f>AZ15/1000</f>
        <v>81732.183</v>
      </c>
      <c r="BC15" s="282">
        <v>88989970</v>
      </c>
      <c r="BD15" s="1">
        <f>BC15/1000</f>
        <v>88989.97</v>
      </c>
    </row>
    <row r="16" spans="1:56" ht="15.75">
      <c r="A16" s="1" t="s">
        <v>10</v>
      </c>
      <c r="B16" s="63">
        <v>2933</v>
      </c>
      <c r="C16" s="63">
        <v>5993</v>
      </c>
      <c r="D16" s="63">
        <v>6337</v>
      </c>
      <c r="E16" s="63">
        <v>6820</v>
      </c>
      <c r="F16" s="63">
        <v>7507</v>
      </c>
      <c r="G16" s="63">
        <v>8273.28</v>
      </c>
      <c r="H16" s="63">
        <v>9742.417</v>
      </c>
      <c r="I16" s="63">
        <v>11667.003</v>
      </c>
      <c r="J16" s="63">
        <v>12916.676</v>
      </c>
      <c r="K16" s="63">
        <v>13951.302</v>
      </c>
      <c r="L16" s="244">
        <f t="shared" si="3"/>
        <v>8.010001954063107</v>
      </c>
      <c r="M16" s="250">
        <f t="shared" si="4"/>
        <v>363.01078266410457</v>
      </c>
      <c r="N16" s="14">
        <v>1217</v>
      </c>
      <c r="O16" s="14">
        <v>1257</v>
      </c>
      <c r="P16" s="14">
        <v>1324</v>
      </c>
      <c r="Q16" s="27">
        <v>1400</v>
      </c>
      <c r="R16" s="27">
        <v>1508</v>
      </c>
      <c r="S16" s="27">
        <v>1642</v>
      </c>
      <c r="T16" s="27">
        <v>1584</v>
      </c>
      <c r="U16" s="27">
        <v>1882</v>
      </c>
      <c r="V16" s="27">
        <v>2132</v>
      </c>
      <c r="W16" s="27">
        <v>2288</v>
      </c>
      <c r="X16" s="14">
        <v>2458</v>
      </c>
      <c r="Y16" s="14">
        <v>2530</v>
      </c>
      <c r="Z16" s="61">
        <v>2713</v>
      </c>
      <c r="AA16" s="83">
        <v>2819</v>
      </c>
      <c r="AB16" s="61">
        <v>2905</v>
      </c>
      <c r="AC16" s="61">
        <v>3013.17</v>
      </c>
      <c r="AD16" s="61"/>
      <c r="AE16" s="128">
        <v>5993478</v>
      </c>
      <c r="AF16" s="1">
        <f>AE16/1000</f>
        <v>5993.478</v>
      </c>
      <c r="AH16" s="3">
        <v>6336952</v>
      </c>
      <c r="AI16" s="1">
        <f>AH16/1000</f>
        <v>6336.952</v>
      </c>
      <c r="AK16" s="3">
        <v>6819523</v>
      </c>
      <c r="AL16" s="1">
        <f>AK16/1000</f>
        <v>6819.523</v>
      </c>
      <c r="AN16" s="3">
        <v>7506646</v>
      </c>
      <c r="AO16" s="1">
        <f>AN16/1000</f>
        <v>7506.646</v>
      </c>
      <c r="AQ16" s="3">
        <v>8273280</v>
      </c>
      <c r="AR16" s="1">
        <f>AQ16/1000</f>
        <v>8273.28</v>
      </c>
      <c r="AT16" s="3">
        <v>9742417</v>
      </c>
      <c r="AU16" s="1">
        <f>AT16/1000</f>
        <v>9742.417</v>
      </c>
      <c r="AW16" s="3">
        <v>11667003</v>
      </c>
      <c r="AX16" s="1">
        <f>AW16/1000</f>
        <v>11667.003</v>
      </c>
      <c r="AZ16" s="3">
        <v>12916676</v>
      </c>
      <c r="BA16" s="1">
        <f>AZ16/1000</f>
        <v>12916.676</v>
      </c>
      <c r="BC16" s="282">
        <v>13951302</v>
      </c>
      <c r="BD16" s="1">
        <f>BC16/1000</f>
        <v>13951.302</v>
      </c>
    </row>
    <row r="17" spans="2:55" ht="15.75">
      <c r="B17" s="59"/>
      <c r="C17" s="59"/>
      <c r="D17" s="59"/>
      <c r="F17" s="59"/>
      <c r="G17" s="59"/>
      <c r="H17" s="59"/>
      <c r="I17" s="59"/>
      <c r="J17" s="59"/>
      <c r="K17" s="59"/>
      <c r="L17" s="244"/>
      <c r="M17" s="250"/>
      <c r="N17" s="14"/>
      <c r="P17" s="14"/>
      <c r="Q17" s="27"/>
      <c r="R17" s="27"/>
      <c r="S17" s="27"/>
      <c r="T17" s="27"/>
      <c r="U17" s="27"/>
      <c r="V17" s="27"/>
      <c r="W17" s="27"/>
      <c r="X17" s="14"/>
      <c r="Y17" s="14"/>
      <c r="Z17" s="61"/>
      <c r="AA17" s="83"/>
      <c r="AB17" s="61"/>
      <c r="AC17" s="61"/>
      <c r="AD17" s="61"/>
      <c r="AE17" s="128"/>
      <c r="AF17" s="1"/>
      <c r="BC17" s="282"/>
    </row>
    <row r="18" spans="1:56" ht="15.75">
      <c r="A18" s="1" t="s">
        <v>11</v>
      </c>
      <c r="B18" s="63">
        <v>554</v>
      </c>
      <c r="C18" s="63">
        <v>1319</v>
      </c>
      <c r="D18" s="63">
        <v>1380</v>
      </c>
      <c r="E18" s="63">
        <v>1451</v>
      </c>
      <c r="F18" s="63">
        <v>1598</v>
      </c>
      <c r="G18" s="63">
        <v>1732.039</v>
      </c>
      <c r="H18" s="63">
        <v>2089.016</v>
      </c>
      <c r="I18" s="63">
        <v>2466.4</v>
      </c>
      <c r="J18" s="63">
        <v>2869.869</v>
      </c>
      <c r="K18" s="63">
        <v>3199.323</v>
      </c>
      <c r="L18" s="244">
        <f t="shared" si="3"/>
        <v>11.479757438405715</v>
      </c>
      <c r="M18" s="250">
        <f t="shared" si="4"/>
        <v>508.5139607425441</v>
      </c>
      <c r="N18" s="14">
        <v>178</v>
      </c>
      <c r="O18" s="14">
        <v>201</v>
      </c>
      <c r="P18" s="14">
        <v>222</v>
      </c>
      <c r="Q18" s="27">
        <v>242</v>
      </c>
      <c r="R18" s="27">
        <v>265</v>
      </c>
      <c r="S18" s="27">
        <v>303</v>
      </c>
      <c r="T18" s="27">
        <v>320</v>
      </c>
      <c r="U18" s="27">
        <v>351</v>
      </c>
      <c r="V18" s="27">
        <v>382</v>
      </c>
      <c r="W18" s="27">
        <v>418</v>
      </c>
      <c r="X18" s="14">
        <v>437</v>
      </c>
      <c r="Y18" s="14">
        <v>447</v>
      </c>
      <c r="Z18" s="61">
        <v>466</v>
      </c>
      <c r="AA18" s="83">
        <v>508</v>
      </c>
      <c r="AB18" s="61">
        <v>505</v>
      </c>
      <c r="AC18" s="61">
        <v>525.76</v>
      </c>
      <c r="AD18" s="61"/>
      <c r="AE18" s="128">
        <v>1318953</v>
      </c>
      <c r="AF18" s="1">
        <f>AE18/1000</f>
        <v>1318.953</v>
      </c>
      <c r="AH18" s="3">
        <v>1380313</v>
      </c>
      <c r="AI18" s="1">
        <f>AH18/1000</f>
        <v>1380.313</v>
      </c>
      <c r="AK18" s="3">
        <v>1451362</v>
      </c>
      <c r="AL18" s="1">
        <f>AK18/1000</f>
        <v>1451.362</v>
      </c>
      <c r="AN18" s="3">
        <v>1597825</v>
      </c>
      <c r="AO18" s="1">
        <f>AN18/1000</f>
        <v>1597.825</v>
      </c>
      <c r="AQ18" s="3">
        <v>1732039</v>
      </c>
      <c r="AR18" s="1">
        <f>AQ18/1000</f>
        <v>1732.039</v>
      </c>
      <c r="AT18" s="3">
        <v>2089016</v>
      </c>
      <c r="AU18" s="1">
        <f>AT18/1000</f>
        <v>2089.016</v>
      </c>
      <c r="AW18" s="3">
        <v>2466400</v>
      </c>
      <c r="AX18" s="1">
        <f>AW18/1000</f>
        <v>2466.4</v>
      </c>
      <c r="AZ18" s="3">
        <v>2869869</v>
      </c>
      <c r="BA18" s="1">
        <f>AZ18/1000</f>
        <v>2869.869</v>
      </c>
      <c r="BC18" s="282">
        <v>3199323</v>
      </c>
      <c r="BD18" s="1">
        <f>BC18/1000</f>
        <v>3199.323</v>
      </c>
    </row>
    <row r="19" spans="1:56" ht="15.75">
      <c r="A19" s="1" t="s">
        <v>12</v>
      </c>
      <c r="B19" s="63">
        <v>3957</v>
      </c>
      <c r="C19" s="63">
        <v>9666</v>
      </c>
      <c r="D19" s="63">
        <v>10278</v>
      </c>
      <c r="E19" s="63">
        <v>10941</v>
      </c>
      <c r="F19" s="63">
        <v>11890</v>
      </c>
      <c r="G19" s="63">
        <v>13331.645</v>
      </c>
      <c r="H19" s="63">
        <v>15453.866</v>
      </c>
      <c r="I19" s="63">
        <v>17935.278</v>
      </c>
      <c r="J19" s="63">
        <v>20329.01</v>
      </c>
      <c r="K19" s="63">
        <v>22093.994</v>
      </c>
      <c r="L19" s="244">
        <f t="shared" si="3"/>
        <v>8.68209519302711</v>
      </c>
      <c r="M19" s="250">
        <f t="shared" si="4"/>
        <v>482.34344935924804</v>
      </c>
      <c r="N19" s="14">
        <v>1212</v>
      </c>
      <c r="O19" s="14">
        <v>1307</v>
      </c>
      <c r="P19" s="14">
        <v>1395</v>
      </c>
      <c r="Q19" s="27">
        <v>1556</v>
      </c>
      <c r="R19" s="27">
        <v>1708</v>
      </c>
      <c r="S19" s="27">
        <v>1920</v>
      </c>
      <c r="T19" s="27">
        <v>2124</v>
      </c>
      <c r="U19" s="27">
        <v>2355</v>
      </c>
      <c r="V19" s="27">
        <v>2607</v>
      </c>
      <c r="W19" s="27">
        <v>2862</v>
      </c>
      <c r="X19" s="14">
        <v>3071</v>
      </c>
      <c r="Y19" s="14">
        <v>3198</v>
      </c>
      <c r="Z19" s="61">
        <v>3351</v>
      </c>
      <c r="AA19" s="83">
        <v>3453</v>
      </c>
      <c r="AB19" s="61">
        <v>3580</v>
      </c>
      <c r="AC19" s="61">
        <v>3793.98</v>
      </c>
      <c r="AD19" s="61"/>
      <c r="AE19" s="128">
        <v>9665960</v>
      </c>
      <c r="AF19" s="1">
        <f>AE19/1000</f>
        <v>9665.96</v>
      </c>
      <c r="AH19" s="3">
        <v>10278303</v>
      </c>
      <c r="AI19" s="1">
        <f>AH19/1000</f>
        <v>10278.303</v>
      </c>
      <c r="AK19" s="3">
        <v>10941349</v>
      </c>
      <c r="AL19" s="1">
        <f>AK19/1000</f>
        <v>10941.349</v>
      </c>
      <c r="AN19" s="3">
        <v>11890136</v>
      </c>
      <c r="AO19" s="1">
        <f>AN19/1000</f>
        <v>11890.136</v>
      </c>
      <c r="AQ19" s="3">
        <v>13331645</v>
      </c>
      <c r="AR19" s="1">
        <f>AQ19/1000</f>
        <v>13331.645</v>
      </c>
      <c r="AT19" s="3">
        <v>15453866</v>
      </c>
      <c r="AU19" s="1">
        <f>AT19/1000</f>
        <v>15453.866</v>
      </c>
      <c r="AW19" s="3">
        <v>17935278</v>
      </c>
      <c r="AX19" s="1">
        <f>AW19/1000</f>
        <v>17935.278</v>
      </c>
      <c r="AZ19" s="3">
        <v>20329010</v>
      </c>
      <c r="BA19" s="1">
        <f>AZ19/1000</f>
        <v>20329.01</v>
      </c>
      <c r="BC19" s="282">
        <v>22093994</v>
      </c>
      <c r="BD19" s="1">
        <f>BC19/1000</f>
        <v>22093.994</v>
      </c>
    </row>
    <row r="20" spans="1:56" ht="15.75">
      <c r="A20" s="1" t="s">
        <v>13</v>
      </c>
      <c r="B20" s="63">
        <v>2025</v>
      </c>
      <c r="C20" s="63">
        <v>4924</v>
      </c>
      <c r="D20" s="63">
        <v>5223</v>
      </c>
      <c r="E20" s="63">
        <v>5621</v>
      </c>
      <c r="F20" s="63">
        <v>6266</v>
      </c>
      <c r="G20" s="63">
        <v>6771.749</v>
      </c>
      <c r="H20" s="63">
        <v>7932.003</v>
      </c>
      <c r="I20" s="63">
        <v>9206.087</v>
      </c>
      <c r="J20" s="63">
        <v>10469.664</v>
      </c>
      <c r="K20" s="63">
        <v>11184.512</v>
      </c>
      <c r="L20" s="244">
        <f t="shared" si="3"/>
        <v>6.827802687841748</v>
      </c>
      <c r="M20" s="250">
        <f t="shared" si="4"/>
        <v>472.81565132775097</v>
      </c>
      <c r="N20" s="14">
        <v>588</v>
      </c>
      <c r="O20" s="14">
        <v>635</v>
      </c>
      <c r="P20" s="14">
        <v>701</v>
      </c>
      <c r="Q20" s="27">
        <v>769</v>
      </c>
      <c r="R20" s="27">
        <v>871</v>
      </c>
      <c r="S20" s="27">
        <v>984</v>
      </c>
      <c r="T20" s="27">
        <v>1099</v>
      </c>
      <c r="U20" s="27">
        <v>1238</v>
      </c>
      <c r="V20" s="27">
        <v>1403</v>
      </c>
      <c r="W20" s="27">
        <v>1520</v>
      </c>
      <c r="X20" s="14">
        <v>1633</v>
      </c>
      <c r="Y20" s="14">
        <v>1688</v>
      </c>
      <c r="Z20" s="61">
        <v>1753</v>
      </c>
      <c r="AA20" s="83">
        <v>1806</v>
      </c>
      <c r="AB20" s="61">
        <v>1865</v>
      </c>
      <c r="AC20" s="61">
        <v>1952.55</v>
      </c>
      <c r="AD20" s="61"/>
      <c r="AE20" s="128">
        <v>4924083</v>
      </c>
      <c r="AF20" s="1">
        <f>AE20/1000</f>
        <v>4924.083</v>
      </c>
      <c r="AH20" s="3">
        <v>5222682</v>
      </c>
      <c r="AI20" s="1">
        <f>AH20/1000</f>
        <v>5222.682</v>
      </c>
      <c r="AK20" s="3">
        <v>5620734</v>
      </c>
      <c r="AL20" s="1">
        <f>AK20/1000</f>
        <v>5620.734</v>
      </c>
      <c r="AN20" s="3">
        <v>6266367</v>
      </c>
      <c r="AO20" s="1">
        <f>AN20/1000</f>
        <v>6266.367</v>
      </c>
      <c r="AQ20" s="3">
        <v>6771749</v>
      </c>
      <c r="AR20" s="1">
        <f>AQ20/1000</f>
        <v>6771.749</v>
      </c>
      <c r="AT20" s="3">
        <v>7932003</v>
      </c>
      <c r="AU20" s="1">
        <f>AT20/1000</f>
        <v>7932.003</v>
      </c>
      <c r="AW20" s="3">
        <v>9206087</v>
      </c>
      <c r="AX20" s="1">
        <f>AW20/1000</f>
        <v>9206.087</v>
      </c>
      <c r="AZ20" s="3">
        <v>10469664</v>
      </c>
      <c r="BA20" s="1">
        <f>AZ20/1000</f>
        <v>10469.664</v>
      </c>
      <c r="BC20" s="282">
        <v>11184512</v>
      </c>
      <c r="BD20" s="1">
        <f>BC20/1000</f>
        <v>11184.512</v>
      </c>
    </row>
    <row r="21" spans="1:56" ht="15.75">
      <c r="A21" s="1" t="s">
        <v>14</v>
      </c>
      <c r="B21" s="63">
        <v>3384</v>
      </c>
      <c r="C21" s="63">
        <v>8204</v>
      </c>
      <c r="D21" s="63">
        <v>8672</v>
      </c>
      <c r="E21" s="63">
        <v>9310</v>
      </c>
      <c r="F21" s="63">
        <v>10097</v>
      </c>
      <c r="G21" s="63">
        <v>11238.385</v>
      </c>
      <c r="H21" s="63">
        <v>13304.60542175</v>
      </c>
      <c r="I21" s="63">
        <v>16016.997</v>
      </c>
      <c r="J21" s="63">
        <v>18586.394</v>
      </c>
      <c r="K21" s="63">
        <v>19882.783</v>
      </c>
      <c r="L21" s="244">
        <f t="shared" si="3"/>
        <v>6.974935536177696</v>
      </c>
      <c r="M21" s="250">
        <f t="shared" si="4"/>
        <v>494.35688107949755</v>
      </c>
      <c r="N21" s="14">
        <v>1110</v>
      </c>
      <c r="O21" s="14">
        <v>1261</v>
      </c>
      <c r="P21" s="14">
        <v>1371</v>
      </c>
      <c r="Q21" s="27">
        <v>1517</v>
      </c>
      <c r="R21" s="27">
        <v>1646</v>
      </c>
      <c r="S21" s="27">
        <v>1806</v>
      </c>
      <c r="T21" s="27">
        <v>1941</v>
      </c>
      <c r="U21" s="27">
        <v>2111</v>
      </c>
      <c r="V21" s="27">
        <v>2310</v>
      </c>
      <c r="W21" s="27">
        <v>2549</v>
      </c>
      <c r="X21" s="14">
        <v>2735</v>
      </c>
      <c r="Y21" s="14">
        <v>2849</v>
      </c>
      <c r="Z21" s="61">
        <v>3033</v>
      </c>
      <c r="AA21" s="83">
        <v>3095</v>
      </c>
      <c r="AB21" s="61">
        <v>3208</v>
      </c>
      <c r="AC21" s="61">
        <v>3345.26</v>
      </c>
      <c r="AD21" s="61"/>
      <c r="AE21" s="128">
        <v>8204465</v>
      </c>
      <c r="AF21" s="1">
        <f>AE21/1000</f>
        <v>8204.465</v>
      </c>
      <c r="AH21" s="3">
        <v>8672489</v>
      </c>
      <c r="AI21" s="1">
        <f>AH21/1000</f>
        <v>8672.489</v>
      </c>
      <c r="AK21" s="3">
        <v>9310426</v>
      </c>
      <c r="AL21" s="1">
        <f>AK21/1000</f>
        <v>9310.426</v>
      </c>
      <c r="AN21" s="3">
        <v>10097010</v>
      </c>
      <c r="AO21" s="1">
        <f>AN21/1000</f>
        <v>10097.01</v>
      </c>
      <c r="AQ21" s="3">
        <v>11238385</v>
      </c>
      <c r="AR21" s="1">
        <f>AQ21/1000</f>
        <v>11238.385</v>
      </c>
      <c r="AT21" s="3">
        <v>13304605.42175</v>
      </c>
      <c r="AU21" s="1">
        <f>AT21/1000</f>
        <v>13304.60542175</v>
      </c>
      <c r="AW21" s="3">
        <v>16016997</v>
      </c>
      <c r="AX21" s="1">
        <f>AW21/1000</f>
        <v>16016.997</v>
      </c>
      <c r="AZ21" s="3">
        <v>18586394</v>
      </c>
      <c r="BA21" s="1">
        <f>AZ21/1000</f>
        <v>18586.394</v>
      </c>
      <c r="BC21" s="282">
        <v>19882783</v>
      </c>
      <c r="BD21" s="1">
        <f>BC21/1000</f>
        <v>19882.783</v>
      </c>
    </row>
    <row r="22" spans="1:56" ht="15.75">
      <c r="A22" s="1" t="s">
        <v>15</v>
      </c>
      <c r="B22" s="63">
        <v>697</v>
      </c>
      <c r="C22" s="63">
        <v>1562</v>
      </c>
      <c r="D22" s="63">
        <v>1649</v>
      </c>
      <c r="E22" s="63">
        <v>1818</v>
      </c>
      <c r="F22" s="63">
        <v>1935</v>
      </c>
      <c r="G22" s="63">
        <v>2118.457</v>
      </c>
      <c r="H22" s="63">
        <v>2400.917</v>
      </c>
      <c r="I22" s="63">
        <v>2827.83</v>
      </c>
      <c r="J22" s="63">
        <v>3234.812</v>
      </c>
      <c r="K22" s="63">
        <v>3527.71</v>
      </c>
      <c r="L22" s="244">
        <f t="shared" si="3"/>
        <v>9.054560203189556</v>
      </c>
      <c r="M22" s="250">
        <f t="shared" si="4"/>
        <v>414.6936095710534</v>
      </c>
      <c r="N22" s="14">
        <v>308</v>
      </c>
      <c r="O22" s="14">
        <v>334</v>
      </c>
      <c r="P22" s="14">
        <v>367</v>
      </c>
      <c r="Q22" s="27">
        <v>393</v>
      </c>
      <c r="R22" s="27">
        <v>418</v>
      </c>
      <c r="S22" s="27">
        <v>445</v>
      </c>
      <c r="T22" s="27">
        <v>483</v>
      </c>
      <c r="U22" s="27">
        <v>520</v>
      </c>
      <c r="V22" s="27">
        <v>563</v>
      </c>
      <c r="W22" s="27">
        <v>598</v>
      </c>
      <c r="X22" s="14">
        <v>613</v>
      </c>
      <c r="Y22" s="14">
        <v>629</v>
      </c>
      <c r="Z22" s="61">
        <v>647</v>
      </c>
      <c r="AA22" s="83">
        <v>664</v>
      </c>
      <c r="AB22" s="61">
        <v>678</v>
      </c>
      <c r="AC22" s="61">
        <v>685.4</v>
      </c>
      <c r="AD22" s="61"/>
      <c r="AE22" s="128">
        <v>1562057</v>
      </c>
      <c r="AF22" s="1">
        <f>AE22/1000</f>
        <v>1562.057</v>
      </c>
      <c r="AH22" s="3">
        <v>1648897</v>
      </c>
      <c r="AI22" s="1">
        <f>AH22/1000</f>
        <v>1648.897</v>
      </c>
      <c r="AK22" s="3">
        <v>1817529</v>
      </c>
      <c r="AL22" s="1">
        <f>AK22/1000</f>
        <v>1817.529</v>
      </c>
      <c r="AN22" s="3">
        <v>1934858</v>
      </c>
      <c r="AO22" s="1">
        <f>AN22/1000</f>
        <v>1934.858</v>
      </c>
      <c r="AQ22" s="3">
        <v>2118457</v>
      </c>
      <c r="AR22" s="1">
        <f>AQ22/1000</f>
        <v>2118.457</v>
      </c>
      <c r="AT22" s="3">
        <v>2400917</v>
      </c>
      <c r="AU22" s="1">
        <f>AT22/1000</f>
        <v>2400.917</v>
      </c>
      <c r="AW22" s="3">
        <v>2827830</v>
      </c>
      <c r="AX22" s="1">
        <f>AW22/1000</f>
        <v>2827.83</v>
      </c>
      <c r="AZ22" s="3">
        <v>3234812</v>
      </c>
      <c r="BA22" s="1">
        <f>AZ22/1000</f>
        <v>3234.812</v>
      </c>
      <c r="BC22" s="282">
        <v>3527710</v>
      </c>
      <c r="BD22" s="1">
        <f>BC22/1000</f>
        <v>3527.71</v>
      </c>
    </row>
    <row r="23" spans="2:55" ht="15.75">
      <c r="B23" s="59"/>
      <c r="C23" s="59"/>
      <c r="D23" s="59"/>
      <c r="F23" s="59"/>
      <c r="G23" s="59"/>
      <c r="H23" s="59"/>
      <c r="I23" s="59"/>
      <c r="J23" s="59"/>
      <c r="K23" s="59"/>
      <c r="L23" s="244"/>
      <c r="M23" s="250"/>
      <c r="N23" s="14"/>
      <c r="P23" s="14"/>
      <c r="Q23" s="27"/>
      <c r="R23" s="27"/>
      <c r="S23" s="27"/>
      <c r="T23" s="27"/>
      <c r="U23" s="27"/>
      <c r="V23" s="27"/>
      <c r="W23" s="27"/>
      <c r="X23" s="14"/>
      <c r="Y23" s="14"/>
      <c r="Z23" s="61"/>
      <c r="AA23" s="83"/>
      <c r="AB23" s="61"/>
      <c r="AC23" s="61"/>
      <c r="AD23" s="61"/>
      <c r="AE23" s="164"/>
      <c r="AF23" s="1"/>
      <c r="BC23" s="283"/>
    </row>
    <row r="24" spans="1:56" ht="15.75">
      <c r="A24" s="1" t="s">
        <v>16</v>
      </c>
      <c r="B24" s="63">
        <v>5197</v>
      </c>
      <c r="C24" s="63">
        <v>13224</v>
      </c>
      <c r="D24" s="63">
        <v>14007</v>
      </c>
      <c r="E24" s="63">
        <v>14952</v>
      </c>
      <c r="F24" s="63">
        <v>16411</v>
      </c>
      <c r="G24" s="63">
        <v>18632.544</v>
      </c>
      <c r="H24" s="63">
        <v>22292.911</v>
      </c>
      <c r="I24" s="63">
        <v>26577.953</v>
      </c>
      <c r="J24" s="63">
        <v>30138.087</v>
      </c>
      <c r="K24" s="63">
        <v>31969.352</v>
      </c>
      <c r="L24" s="244">
        <f t="shared" si="3"/>
        <v>6.07624830335117</v>
      </c>
      <c r="M24" s="250">
        <f t="shared" si="4"/>
        <v>536.0313386572443</v>
      </c>
      <c r="N24" s="14">
        <v>1428</v>
      </c>
      <c r="O24" s="14">
        <v>1564</v>
      </c>
      <c r="P24" s="14">
        <v>1736</v>
      </c>
      <c r="Q24" s="27">
        <v>1903</v>
      </c>
      <c r="R24" s="27">
        <v>2153</v>
      </c>
      <c r="S24" s="27">
        <v>2418</v>
      </c>
      <c r="T24" s="27">
        <v>2708</v>
      </c>
      <c r="U24" s="27">
        <v>3018</v>
      </c>
      <c r="V24" s="27">
        <v>3394</v>
      </c>
      <c r="W24" s="27">
        <v>3785</v>
      </c>
      <c r="X24" s="14">
        <v>4043</v>
      </c>
      <c r="Y24" s="14">
        <v>4175</v>
      </c>
      <c r="Z24" s="61">
        <v>4410</v>
      </c>
      <c r="AA24" s="83">
        <v>4551</v>
      </c>
      <c r="AB24" s="61">
        <v>4732</v>
      </c>
      <c r="AC24" s="61">
        <v>5026.38</v>
      </c>
      <c r="AD24" s="61"/>
      <c r="AE24" s="128">
        <v>13223600</v>
      </c>
      <c r="AF24" s="1">
        <f>AE24/1000</f>
        <v>13223.6</v>
      </c>
      <c r="AH24" s="3">
        <v>14007191</v>
      </c>
      <c r="AI24" s="1">
        <f>AH24/1000</f>
        <v>14007.191</v>
      </c>
      <c r="AK24" s="3">
        <v>14951629</v>
      </c>
      <c r="AL24" s="1">
        <f>AK24/1000</f>
        <v>14951.629</v>
      </c>
      <c r="AN24" s="3">
        <v>16410859</v>
      </c>
      <c r="AO24" s="1">
        <f>AN24/1000</f>
        <v>16410.859</v>
      </c>
      <c r="AQ24" s="3">
        <v>18632544</v>
      </c>
      <c r="AR24" s="1">
        <f>AQ24/1000</f>
        <v>18632.544</v>
      </c>
      <c r="AT24" s="3">
        <v>22292911</v>
      </c>
      <c r="AU24" s="1">
        <f>AT24/1000</f>
        <v>22292.911</v>
      </c>
      <c r="AW24" s="3">
        <v>26577953</v>
      </c>
      <c r="AX24" s="1">
        <f>AW24/1000</f>
        <v>26577.953</v>
      </c>
      <c r="AZ24" s="3">
        <v>30138087</v>
      </c>
      <c r="BA24" s="1">
        <f>AZ24/1000</f>
        <v>30138.087</v>
      </c>
      <c r="BC24" s="282">
        <v>31969352</v>
      </c>
      <c r="BD24" s="1">
        <f>BC24/1000</f>
        <v>31969.352</v>
      </c>
    </row>
    <row r="25" spans="1:56" ht="15.75">
      <c r="A25" s="1" t="s">
        <v>17</v>
      </c>
      <c r="B25" s="63">
        <v>871</v>
      </c>
      <c r="C25" s="63">
        <v>1983</v>
      </c>
      <c r="D25" s="63">
        <v>2129</v>
      </c>
      <c r="E25" s="63">
        <v>2316</v>
      </c>
      <c r="F25" s="63">
        <v>2513</v>
      </c>
      <c r="G25" s="63">
        <v>2806.883</v>
      </c>
      <c r="H25" s="63">
        <v>3371.967</v>
      </c>
      <c r="I25" s="63">
        <v>3865.703</v>
      </c>
      <c r="J25" s="63">
        <v>4356.322</v>
      </c>
      <c r="K25" s="63">
        <v>4689.794</v>
      </c>
      <c r="L25" s="244">
        <f t="shared" si="3"/>
        <v>7.654897870267619</v>
      </c>
      <c r="M25" s="250">
        <f t="shared" si="4"/>
        <v>469.7720811566031</v>
      </c>
      <c r="N25" s="14">
        <v>307</v>
      </c>
      <c r="O25" s="14">
        <v>337</v>
      </c>
      <c r="P25" s="14">
        <v>369</v>
      </c>
      <c r="Q25" s="27">
        <v>392</v>
      </c>
      <c r="R25" s="27">
        <v>437</v>
      </c>
      <c r="S25" s="27">
        <v>480</v>
      </c>
      <c r="T25" s="27">
        <v>515</v>
      </c>
      <c r="U25" s="27">
        <v>563</v>
      </c>
      <c r="V25" s="27">
        <v>615</v>
      </c>
      <c r="W25" s="27">
        <v>666</v>
      </c>
      <c r="X25" s="14">
        <v>668</v>
      </c>
      <c r="Y25" s="14">
        <v>701</v>
      </c>
      <c r="Z25" s="61">
        <v>743</v>
      </c>
      <c r="AA25" s="83">
        <v>759</v>
      </c>
      <c r="AB25" s="61">
        <v>790</v>
      </c>
      <c r="AC25" s="61">
        <v>823.1</v>
      </c>
      <c r="AD25" s="61"/>
      <c r="AE25" s="128">
        <v>1982674</v>
      </c>
      <c r="AF25" s="1">
        <f>AE25/1000</f>
        <v>1982.674</v>
      </c>
      <c r="AH25" s="3">
        <v>2129052</v>
      </c>
      <c r="AI25" s="1">
        <f>AH25/1000</f>
        <v>2129.052</v>
      </c>
      <c r="AK25" s="3">
        <v>2315500</v>
      </c>
      <c r="AL25" s="1">
        <f>AK25/1000</f>
        <v>2315.5</v>
      </c>
      <c r="AN25" s="3">
        <v>2513160</v>
      </c>
      <c r="AO25" s="1">
        <f>AN25/1000</f>
        <v>2513.16</v>
      </c>
      <c r="AQ25" s="3">
        <v>2806883</v>
      </c>
      <c r="AR25" s="1">
        <f>AQ25/1000</f>
        <v>2806.883</v>
      </c>
      <c r="AT25" s="3">
        <v>3371967</v>
      </c>
      <c r="AU25" s="1">
        <f>AT25/1000</f>
        <v>3371.967</v>
      </c>
      <c r="AW25" s="3">
        <v>3865703</v>
      </c>
      <c r="AX25" s="1">
        <f>AW25/1000</f>
        <v>3865.703</v>
      </c>
      <c r="AZ25" s="3">
        <v>4356322</v>
      </c>
      <c r="BA25" s="1">
        <f>AZ25/1000</f>
        <v>4356.322</v>
      </c>
      <c r="BC25" s="282">
        <v>4689794</v>
      </c>
      <c r="BD25" s="1">
        <f>BC25/1000</f>
        <v>4689.794</v>
      </c>
    </row>
    <row r="26" spans="1:56" ht="15.75">
      <c r="A26" s="1" t="s">
        <v>18</v>
      </c>
      <c r="B26" s="63">
        <v>5463</v>
      </c>
      <c r="C26" s="63">
        <v>12898</v>
      </c>
      <c r="D26" s="63">
        <v>13641</v>
      </c>
      <c r="E26" s="63">
        <v>14428</v>
      </c>
      <c r="F26" s="63">
        <v>15621</v>
      </c>
      <c r="G26" s="63">
        <v>17087.626</v>
      </c>
      <c r="H26" s="63">
        <v>19926.361</v>
      </c>
      <c r="I26" s="63">
        <v>22974.307</v>
      </c>
      <c r="J26" s="63">
        <v>26162.245</v>
      </c>
      <c r="K26" s="63">
        <v>28453.136</v>
      </c>
      <c r="L26" s="244">
        <f t="shared" si="3"/>
        <v>8.756477129542972</v>
      </c>
      <c r="M26" s="250">
        <f t="shared" si="4"/>
        <v>440.75937434669396</v>
      </c>
      <c r="N26" s="14">
        <v>1567</v>
      </c>
      <c r="O26" s="14">
        <v>1684</v>
      </c>
      <c r="P26" s="14">
        <v>1843</v>
      </c>
      <c r="Q26" s="27">
        <v>2056</v>
      </c>
      <c r="R26" s="27">
        <v>2300</v>
      </c>
      <c r="S26" s="27">
        <v>2563</v>
      </c>
      <c r="T26" s="27">
        <v>2822</v>
      </c>
      <c r="U26" s="27">
        <v>3136</v>
      </c>
      <c r="V26" s="27">
        <v>3479</v>
      </c>
      <c r="W26" s="27">
        <v>3785</v>
      </c>
      <c r="X26" s="14">
        <v>4075</v>
      </c>
      <c r="Y26" s="14">
        <v>4299</v>
      </c>
      <c r="Z26" s="61">
        <v>4553</v>
      </c>
      <c r="AA26" s="83">
        <v>4793</v>
      </c>
      <c r="AB26" s="61">
        <v>5001</v>
      </c>
      <c r="AC26" s="61">
        <v>5261.7</v>
      </c>
      <c r="AD26" s="61"/>
      <c r="AE26" s="128">
        <v>12897679</v>
      </c>
      <c r="AF26" s="1">
        <f>AE26/1000</f>
        <v>12897.679</v>
      </c>
      <c r="AH26" s="3">
        <v>13640671</v>
      </c>
      <c r="AI26" s="1">
        <f>AH26/1000</f>
        <v>13640.671</v>
      </c>
      <c r="AK26" s="3">
        <v>14428277</v>
      </c>
      <c r="AL26" s="1">
        <f>AK26/1000</f>
        <v>14428.277</v>
      </c>
      <c r="AN26" s="3">
        <v>15621361</v>
      </c>
      <c r="AO26" s="1">
        <f>AN26/1000</f>
        <v>15621.361</v>
      </c>
      <c r="AQ26" s="3">
        <v>17087626</v>
      </c>
      <c r="AR26" s="1">
        <f>AQ26/1000</f>
        <v>17087.626</v>
      </c>
      <c r="AT26" s="3">
        <v>19926361</v>
      </c>
      <c r="AU26" s="1">
        <f>AT26/1000</f>
        <v>19926.361</v>
      </c>
      <c r="AW26" s="3">
        <v>22974307</v>
      </c>
      <c r="AX26" s="1">
        <f>AW26/1000</f>
        <v>22974.307</v>
      </c>
      <c r="AZ26" s="3">
        <v>26162245</v>
      </c>
      <c r="BA26" s="1">
        <f>AZ26/1000</f>
        <v>26162.245</v>
      </c>
      <c r="BC26" s="282">
        <v>28453136</v>
      </c>
      <c r="BD26" s="1">
        <f>BC26/1000</f>
        <v>28453.136</v>
      </c>
    </row>
    <row r="27" spans="1:56" ht="15.75">
      <c r="A27" s="1" t="s">
        <v>19</v>
      </c>
      <c r="B27" s="63">
        <v>8665</v>
      </c>
      <c r="C27" s="63">
        <v>21792</v>
      </c>
      <c r="D27" s="63">
        <v>22544</v>
      </c>
      <c r="E27" s="63">
        <v>24297</v>
      </c>
      <c r="F27" s="63">
        <v>27064</v>
      </c>
      <c r="G27" s="63">
        <v>30451.238</v>
      </c>
      <c r="H27" s="63">
        <v>36224.837</v>
      </c>
      <c r="I27" s="63">
        <v>42056.223</v>
      </c>
      <c r="J27" s="63">
        <v>47667.75</v>
      </c>
      <c r="K27" s="63">
        <v>50049.686</v>
      </c>
      <c r="L27" s="244">
        <f t="shared" si="3"/>
        <v>4.996954964310254</v>
      </c>
      <c r="M27" s="250">
        <f t="shared" si="4"/>
        <v>506.99762899538536</v>
      </c>
      <c r="N27" s="14">
        <v>2363</v>
      </c>
      <c r="O27" s="14">
        <v>2653</v>
      </c>
      <c r="P27" s="14">
        <v>3012</v>
      </c>
      <c r="Q27" s="27">
        <v>3387</v>
      </c>
      <c r="R27" s="27">
        <v>3979</v>
      </c>
      <c r="S27" s="27">
        <v>4482</v>
      </c>
      <c r="T27" s="27">
        <v>4930</v>
      </c>
      <c r="U27" s="27">
        <v>5344</v>
      </c>
      <c r="V27" s="27">
        <v>5907</v>
      </c>
      <c r="W27" s="27">
        <v>6270</v>
      </c>
      <c r="X27" s="14">
        <v>6519</v>
      </c>
      <c r="Y27" s="14">
        <v>6916</v>
      </c>
      <c r="Z27" s="61">
        <v>7102</v>
      </c>
      <c r="AA27" s="83">
        <v>7420</v>
      </c>
      <c r="AB27" s="61">
        <v>7742</v>
      </c>
      <c r="AC27" s="61">
        <v>8245.45</v>
      </c>
      <c r="AD27" s="61"/>
      <c r="AE27" s="128">
        <v>21791561</v>
      </c>
      <c r="AF27" s="1">
        <f>AE27/1000</f>
        <v>21791.561</v>
      </c>
      <c r="AH27" s="3">
        <v>22543862</v>
      </c>
      <c r="AI27" s="1">
        <f>AH27/1000</f>
        <v>22543.862</v>
      </c>
      <c r="AK27" s="3">
        <v>24297361</v>
      </c>
      <c r="AL27" s="1">
        <f>AK27/1000</f>
        <v>24297.361</v>
      </c>
      <c r="AN27" s="3">
        <v>27064279</v>
      </c>
      <c r="AO27" s="1">
        <f>AN27/1000</f>
        <v>27064.279</v>
      </c>
      <c r="AQ27" s="3">
        <v>30451238</v>
      </c>
      <c r="AR27" s="1">
        <f>AQ27/1000</f>
        <v>30451.238</v>
      </c>
      <c r="AT27" s="3">
        <v>36224837</v>
      </c>
      <c r="AU27" s="1">
        <f>AT27/1000</f>
        <v>36224.837</v>
      </c>
      <c r="AW27" s="3">
        <v>42056223</v>
      </c>
      <c r="AX27" s="1">
        <f>AW27/1000</f>
        <v>42056.223</v>
      </c>
      <c r="AZ27" s="3">
        <v>47667750</v>
      </c>
      <c r="BA27" s="1">
        <f>AZ27/1000</f>
        <v>47667.75</v>
      </c>
      <c r="BC27" s="282">
        <v>50049686</v>
      </c>
      <c r="BD27" s="1">
        <f>BC27/1000</f>
        <v>50049.686</v>
      </c>
    </row>
    <row r="28" spans="1:56" ht="15.75">
      <c r="A28" s="1" t="s">
        <v>20</v>
      </c>
      <c r="B28" s="63">
        <v>560</v>
      </c>
      <c r="C28" s="63">
        <v>1390</v>
      </c>
      <c r="D28" s="63">
        <v>1454</v>
      </c>
      <c r="E28" s="63">
        <v>1556</v>
      </c>
      <c r="F28" s="63">
        <v>1701</v>
      </c>
      <c r="G28" s="63">
        <v>1867.337</v>
      </c>
      <c r="H28" s="63">
        <v>2181.116</v>
      </c>
      <c r="I28" s="63">
        <v>2535.994</v>
      </c>
      <c r="J28" s="63">
        <v>2917.378</v>
      </c>
      <c r="K28" s="63">
        <v>3219.073</v>
      </c>
      <c r="L28" s="244">
        <f t="shared" si="3"/>
        <v>10.341306474512377</v>
      </c>
      <c r="M28" s="250">
        <f t="shared" si="4"/>
        <v>487.13279953307676</v>
      </c>
      <c r="N28" s="14">
        <v>202</v>
      </c>
      <c r="O28" s="14">
        <v>216</v>
      </c>
      <c r="P28" s="27">
        <v>233</v>
      </c>
      <c r="Q28" s="27">
        <v>256</v>
      </c>
      <c r="R28" s="27">
        <v>281</v>
      </c>
      <c r="S28" s="27">
        <v>316</v>
      </c>
      <c r="T28" s="27">
        <v>346</v>
      </c>
      <c r="U28" s="27">
        <v>389</v>
      </c>
      <c r="V28" s="27">
        <v>434</v>
      </c>
      <c r="W28" s="27">
        <v>467</v>
      </c>
      <c r="X28" s="14">
        <v>488</v>
      </c>
      <c r="Y28" s="14">
        <v>502</v>
      </c>
      <c r="Z28" s="61">
        <v>517</v>
      </c>
      <c r="AA28" s="83">
        <v>530</v>
      </c>
      <c r="AB28" s="61">
        <v>538</v>
      </c>
      <c r="AC28" s="61">
        <v>548.27</v>
      </c>
      <c r="AD28" s="61"/>
      <c r="AE28" s="128">
        <v>1389818</v>
      </c>
      <c r="AF28" s="1">
        <f>AE28/1000</f>
        <v>1389.818</v>
      </c>
      <c r="AH28" s="3">
        <v>1454105</v>
      </c>
      <c r="AI28" s="1">
        <f>AH28/1000</f>
        <v>1454.105</v>
      </c>
      <c r="AK28" s="3">
        <v>1555850</v>
      </c>
      <c r="AL28" s="1">
        <f>AK28/1000</f>
        <v>1555.85</v>
      </c>
      <c r="AN28" s="3">
        <v>1700633</v>
      </c>
      <c r="AO28" s="1">
        <f>AN28/1000</f>
        <v>1700.633</v>
      </c>
      <c r="AQ28" s="3">
        <v>1867337</v>
      </c>
      <c r="AR28" s="1">
        <f>AQ28/1000</f>
        <v>1867.337</v>
      </c>
      <c r="AT28" s="3">
        <v>2181116</v>
      </c>
      <c r="AU28" s="1">
        <f>AT28/1000</f>
        <v>2181.116</v>
      </c>
      <c r="AW28" s="3">
        <v>2535994</v>
      </c>
      <c r="AX28" s="1">
        <f>AW28/1000</f>
        <v>2535.994</v>
      </c>
      <c r="AZ28" s="3">
        <v>2917378</v>
      </c>
      <c r="BA28" s="1">
        <f>AZ28/1000</f>
        <v>2917.378</v>
      </c>
      <c r="BC28" s="282">
        <v>3219073</v>
      </c>
      <c r="BD28" s="1">
        <f>BC28/1000</f>
        <v>3219.073</v>
      </c>
    </row>
    <row r="29" spans="2:55" ht="15.75">
      <c r="B29" s="59"/>
      <c r="C29" s="59"/>
      <c r="D29" s="59"/>
      <c r="F29" s="59"/>
      <c r="G29" s="59"/>
      <c r="H29" s="59"/>
      <c r="I29" s="59"/>
      <c r="J29" s="59"/>
      <c r="K29" s="59"/>
      <c r="L29" s="244"/>
      <c r="M29" s="250"/>
      <c r="N29" s="14"/>
      <c r="O29" s="14"/>
      <c r="Q29" s="27"/>
      <c r="R29" s="27"/>
      <c r="S29" s="27"/>
      <c r="T29" s="27"/>
      <c r="U29" s="27"/>
      <c r="V29" s="27"/>
      <c r="W29" s="27"/>
      <c r="X29" s="14"/>
      <c r="Y29" s="14"/>
      <c r="Z29" s="61"/>
      <c r="AA29" s="83"/>
      <c r="AB29" s="61"/>
      <c r="AC29" s="61"/>
      <c r="AD29" s="61"/>
      <c r="AE29" s="164"/>
      <c r="AF29" s="1"/>
      <c r="BC29" s="283"/>
    </row>
    <row r="30" spans="1:56" ht="15.75">
      <c r="A30" s="1" t="s">
        <v>21</v>
      </c>
      <c r="B30" s="63">
        <v>33746</v>
      </c>
      <c r="C30" s="63">
        <v>82145</v>
      </c>
      <c r="D30" s="63">
        <v>87194</v>
      </c>
      <c r="E30" s="63">
        <v>95287</v>
      </c>
      <c r="F30" s="63">
        <v>106670</v>
      </c>
      <c r="G30" s="63">
        <v>123700.452</v>
      </c>
      <c r="H30" s="63">
        <v>145815.228236</v>
      </c>
      <c r="I30" s="63">
        <v>168428.916</v>
      </c>
      <c r="J30" s="63">
        <v>186959.284</v>
      </c>
      <c r="K30" s="63">
        <v>187664.567</v>
      </c>
      <c r="L30" s="244">
        <f t="shared" si="3"/>
        <v>0.37723882168910944</v>
      </c>
      <c r="M30" s="250">
        <f t="shared" si="4"/>
        <v>473.56449463614416</v>
      </c>
      <c r="N30" s="14">
        <v>12905</v>
      </c>
      <c r="O30" s="14">
        <v>14257</v>
      </c>
      <c r="P30" s="27">
        <v>15799</v>
      </c>
      <c r="Q30" s="27">
        <v>17630</v>
      </c>
      <c r="R30" s="27">
        <v>19574</v>
      </c>
      <c r="S30" s="27">
        <v>21505</v>
      </c>
      <c r="T30" s="27">
        <v>23766</v>
      </c>
      <c r="U30" s="27">
        <v>25962</v>
      </c>
      <c r="V30" s="27">
        <v>28433</v>
      </c>
      <c r="W30" s="27">
        <v>29484</v>
      </c>
      <c r="X30" s="14">
        <v>29485</v>
      </c>
      <c r="Y30" s="14">
        <v>29322</v>
      </c>
      <c r="Z30" s="61">
        <v>30477</v>
      </c>
      <c r="AA30" s="83">
        <v>31226</v>
      </c>
      <c r="AB30" s="61">
        <v>31848</v>
      </c>
      <c r="AC30" s="61">
        <v>32719</v>
      </c>
      <c r="AD30" s="61"/>
      <c r="AE30" s="128">
        <v>82144795</v>
      </c>
      <c r="AF30" s="1">
        <f>AE30/1000</f>
        <v>82144.795</v>
      </c>
      <c r="AH30" s="3">
        <v>87193587</v>
      </c>
      <c r="AI30" s="1">
        <f>AH30/1000</f>
        <v>87193.587</v>
      </c>
      <c r="AK30" s="3">
        <v>95287116</v>
      </c>
      <c r="AL30" s="1">
        <f>AK30/1000</f>
        <v>95287.116</v>
      </c>
      <c r="AN30" s="3">
        <v>106670244</v>
      </c>
      <c r="AO30" s="1">
        <f>AN30/1000</f>
        <v>106670.244</v>
      </c>
      <c r="AQ30" s="3">
        <v>123700452</v>
      </c>
      <c r="AR30" s="1">
        <f>AQ30/1000</f>
        <v>123700.452</v>
      </c>
      <c r="AT30" s="3">
        <v>145815228.236</v>
      </c>
      <c r="AU30" s="1">
        <f>AT30/1000</f>
        <v>145815.228236</v>
      </c>
      <c r="AW30" s="3">
        <v>168428916</v>
      </c>
      <c r="AX30" s="1">
        <f>AW30/1000</f>
        <v>168428.916</v>
      </c>
      <c r="AZ30" s="3">
        <v>186959284</v>
      </c>
      <c r="BA30" s="1">
        <f>AZ30/1000</f>
        <v>186959.284</v>
      </c>
      <c r="BC30" s="282">
        <v>187664567</v>
      </c>
      <c r="BD30" s="1">
        <f>BC30/1000</f>
        <v>187664.567</v>
      </c>
    </row>
    <row r="31" spans="1:56" ht="15.75">
      <c r="A31" s="1" t="s">
        <v>22</v>
      </c>
      <c r="B31" s="63">
        <v>17982</v>
      </c>
      <c r="C31" s="63">
        <v>41878</v>
      </c>
      <c r="D31" s="63">
        <v>43740</v>
      </c>
      <c r="E31" s="63">
        <v>45737</v>
      </c>
      <c r="F31" s="63">
        <v>48952</v>
      </c>
      <c r="G31" s="63">
        <v>54285.945</v>
      </c>
      <c r="H31" s="63">
        <v>62726.16382625</v>
      </c>
      <c r="I31" s="63">
        <v>74432.899</v>
      </c>
      <c r="J31" s="63">
        <v>88581.325</v>
      </c>
      <c r="K31" s="63">
        <v>98867.718</v>
      </c>
      <c r="L31" s="244">
        <f t="shared" si="3"/>
        <v>11.612372020852021</v>
      </c>
      <c r="M31" s="250">
        <f t="shared" si="4"/>
        <v>455.7169740689403</v>
      </c>
      <c r="N31" s="14">
        <v>7685</v>
      </c>
      <c r="O31" s="14">
        <v>8322</v>
      </c>
      <c r="P31" s="27">
        <v>9098</v>
      </c>
      <c r="Q31" s="27">
        <v>9956</v>
      </c>
      <c r="R31" s="27">
        <v>10842</v>
      </c>
      <c r="S31" s="27">
        <v>11835</v>
      </c>
      <c r="T31" s="27">
        <v>12878</v>
      </c>
      <c r="U31" s="27">
        <v>13892</v>
      </c>
      <c r="V31" s="27">
        <v>15080</v>
      </c>
      <c r="W31" s="27">
        <v>15766</v>
      </c>
      <c r="X31" s="14">
        <v>16282</v>
      </c>
      <c r="Y31" s="14">
        <v>16624</v>
      </c>
      <c r="Z31" s="61">
        <v>16909</v>
      </c>
      <c r="AA31" s="83">
        <v>17113</v>
      </c>
      <c r="AB31" s="61">
        <v>17427</v>
      </c>
      <c r="AC31" s="61">
        <v>17791.02</v>
      </c>
      <c r="AD31" s="61"/>
      <c r="AE31" s="128">
        <v>41877508</v>
      </c>
      <c r="AF31" s="1">
        <f>AE31/1000</f>
        <v>41877.508</v>
      </c>
      <c r="AH31" s="3">
        <v>43740098</v>
      </c>
      <c r="AI31" s="1">
        <f>AH31/1000</f>
        <v>43740.098</v>
      </c>
      <c r="AK31" s="3">
        <v>45736798</v>
      </c>
      <c r="AL31" s="1">
        <f>AK31/1000</f>
        <v>45736.798</v>
      </c>
      <c r="AN31" s="3">
        <v>48951876</v>
      </c>
      <c r="AO31" s="1">
        <f>AN31/1000</f>
        <v>48951.876</v>
      </c>
      <c r="AQ31" s="3">
        <v>54285945</v>
      </c>
      <c r="AR31" s="1">
        <f>AQ31/1000</f>
        <v>54285.945</v>
      </c>
      <c r="AT31" s="3">
        <v>62726163.82625</v>
      </c>
      <c r="AU31" s="1">
        <f>AT31/1000</f>
        <v>62726.16382625</v>
      </c>
      <c r="AW31" s="3">
        <v>74432899</v>
      </c>
      <c r="AX31" s="1">
        <f>AW31/1000</f>
        <v>74432.899</v>
      </c>
      <c r="AZ31" s="3">
        <v>88581325</v>
      </c>
      <c r="BA31" s="1">
        <f>AZ31/1000</f>
        <v>88581.325</v>
      </c>
      <c r="BC31" s="282">
        <v>98867718</v>
      </c>
      <c r="BD31" s="1">
        <f>BC31/1000</f>
        <v>98867.718</v>
      </c>
    </row>
    <row r="32" spans="1:56" ht="15.75">
      <c r="A32" s="1" t="s">
        <v>23</v>
      </c>
      <c r="B32" s="63">
        <v>1290</v>
      </c>
      <c r="C32" s="63">
        <v>3341</v>
      </c>
      <c r="D32" s="63">
        <v>3621</v>
      </c>
      <c r="E32" s="63">
        <v>4032</v>
      </c>
      <c r="F32" s="63">
        <v>4577</v>
      </c>
      <c r="G32" s="63">
        <v>5136.984</v>
      </c>
      <c r="H32" s="63">
        <v>6174.440758999999</v>
      </c>
      <c r="I32" s="63">
        <v>7359.731</v>
      </c>
      <c r="J32" s="63">
        <v>8420.273</v>
      </c>
      <c r="K32" s="63">
        <v>9050.949</v>
      </c>
      <c r="L32" s="244">
        <f t="shared" si="3"/>
        <v>7.48997093087126</v>
      </c>
      <c r="M32" s="250">
        <f t="shared" si="4"/>
        <v>640.9639708229978</v>
      </c>
      <c r="N32" s="14">
        <v>371</v>
      </c>
      <c r="O32" s="14">
        <v>413</v>
      </c>
      <c r="P32" s="27">
        <v>460</v>
      </c>
      <c r="Q32" s="27">
        <v>516</v>
      </c>
      <c r="R32" s="27">
        <v>583</v>
      </c>
      <c r="S32" s="27">
        <v>660</v>
      </c>
      <c r="T32" s="27">
        <v>712</v>
      </c>
      <c r="U32" s="27">
        <v>788</v>
      </c>
      <c r="V32" s="27">
        <v>883</v>
      </c>
      <c r="W32" s="27">
        <v>962</v>
      </c>
      <c r="X32" s="14">
        <v>996</v>
      </c>
      <c r="Y32" s="14">
        <v>1032</v>
      </c>
      <c r="Z32" s="61">
        <v>1081</v>
      </c>
      <c r="AA32" s="83">
        <v>1120</v>
      </c>
      <c r="AB32" s="61">
        <v>1167</v>
      </c>
      <c r="AC32" s="61">
        <v>1221.51</v>
      </c>
      <c r="AD32" s="61"/>
      <c r="AE32" s="128">
        <v>3340827</v>
      </c>
      <c r="AF32" s="1">
        <f>AE32/1000</f>
        <v>3340.827</v>
      </c>
      <c r="AH32" s="3">
        <v>3620689</v>
      </c>
      <c r="AI32" s="1">
        <f>AH32/1000</f>
        <v>3620.689</v>
      </c>
      <c r="AK32" s="3">
        <v>4032277</v>
      </c>
      <c r="AL32" s="1">
        <f>AK32/1000</f>
        <v>4032.277</v>
      </c>
      <c r="AN32" s="3">
        <v>4576913</v>
      </c>
      <c r="AO32" s="1">
        <f>AN32/1000</f>
        <v>4576.913</v>
      </c>
      <c r="AQ32" s="3">
        <v>5136984</v>
      </c>
      <c r="AR32" s="1">
        <f>AQ32/1000</f>
        <v>5136.984</v>
      </c>
      <c r="AT32" s="3">
        <v>6174440.759</v>
      </c>
      <c r="AU32" s="1">
        <f>AT32/1000</f>
        <v>6174.440758999999</v>
      </c>
      <c r="AW32" s="3">
        <v>7359731</v>
      </c>
      <c r="AX32" s="1">
        <f>AW32/1000</f>
        <v>7359.731</v>
      </c>
      <c r="AZ32" s="3">
        <v>8420273</v>
      </c>
      <c r="BA32" s="1">
        <f>AZ32/1000</f>
        <v>8420.273</v>
      </c>
      <c r="BC32" s="282">
        <v>9050949</v>
      </c>
      <c r="BD32" s="1">
        <f>BC32/1000</f>
        <v>9050.949</v>
      </c>
    </row>
    <row r="33" spans="1:56" ht="15.75">
      <c r="A33" s="1" t="s">
        <v>24</v>
      </c>
      <c r="B33" s="63">
        <v>2150</v>
      </c>
      <c r="C33" s="63">
        <v>5237</v>
      </c>
      <c r="D33" s="63">
        <v>5534</v>
      </c>
      <c r="E33" s="63">
        <v>5831</v>
      </c>
      <c r="F33" s="63">
        <v>6233</v>
      </c>
      <c r="G33" s="63">
        <v>6831.604</v>
      </c>
      <c r="H33" s="63">
        <v>8227.293873499999</v>
      </c>
      <c r="I33" s="63">
        <v>9796.841</v>
      </c>
      <c r="J33" s="63">
        <v>11602.222</v>
      </c>
      <c r="K33" s="63">
        <v>12875.262</v>
      </c>
      <c r="L33" s="244">
        <f t="shared" si="3"/>
        <v>10.972380980126056</v>
      </c>
      <c r="M33" s="250">
        <f t="shared" si="4"/>
        <v>526.9391869190279</v>
      </c>
      <c r="N33" s="14">
        <v>619</v>
      </c>
      <c r="O33" s="14">
        <v>696</v>
      </c>
      <c r="P33" s="27">
        <v>777</v>
      </c>
      <c r="Q33" s="27">
        <v>859</v>
      </c>
      <c r="R33" s="27">
        <v>950</v>
      </c>
      <c r="S33" s="27">
        <v>1053</v>
      </c>
      <c r="T33" s="27">
        <v>1140</v>
      </c>
      <c r="U33" s="27">
        <v>1255</v>
      </c>
      <c r="V33" s="27">
        <v>1391</v>
      </c>
      <c r="W33" s="27">
        <v>1537</v>
      </c>
      <c r="X33" s="14">
        <v>1612</v>
      </c>
      <c r="Y33" s="14">
        <v>1695</v>
      </c>
      <c r="Z33" s="61">
        <v>1798</v>
      </c>
      <c r="AA33" s="83">
        <v>1848</v>
      </c>
      <c r="AB33" s="61">
        <v>1958</v>
      </c>
      <c r="AC33" s="61">
        <v>2053.67</v>
      </c>
      <c r="AD33" s="61"/>
      <c r="AE33" s="128">
        <v>5236506</v>
      </c>
      <c r="AF33" s="1">
        <f>AE33/1000</f>
        <v>5236.506</v>
      </c>
      <c r="AH33" s="3">
        <v>5533506</v>
      </c>
      <c r="AI33" s="1">
        <f>AH33/1000</f>
        <v>5533.506</v>
      </c>
      <c r="AK33" s="3">
        <v>5830982</v>
      </c>
      <c r="AL33" s="1">
        <f>AK33/1000</f>
        <v>5830.982</v>
      </c>
      <c r="AN33" s="3">
        <v>6232750</v>
      </c>
      <c r="AO33" s="1">
        <f>AN33/1000</f>
        <v>6232.75</v>
      </c>
      <c r="AQ33" s="3">
        <v>6831604</v>
      </c>
      <c r="AR33" s="1">
        <f>AQ33/1000</f>
        <v>6831.604</v>
      </c>
      <c r="AT33" s="3">
        <v>8227293.8735</v>
      </c>
      <c r="AU33" s="1">
        <f>AT33/1000</f>
        <v>8227.293873499999</v>
      </c>
      <c r="AW33" s="3">
        <v>9796841</v>
      </c>
      <c r="AX33" s="1">
        <f>AW33/1000</f>
        <v>9796.841</v>
      </c>
      <c r="AZ33" s="3">
        <v>11602222</v>
      </c>
      <c r="BA33" s="1">
        <f>AZ33/1000</f>
        <v>11602.222</v>
      </c>
      <c r="BC33" s="282">
        <v>12875262</v>
      </c>
      <c r="BD33" s="1">
        <f>BC33/1000</f>
        <v>12875.262</v>
      </c>
    </row>
    <row r="34" spans="1:56" ht="15.75">
      <c r="A34" s="1" t="s">
        <v>25</v>
      </c>
      <c r="B34" s="63">
        <v>330</v>
      </c>
      <c r="C34" s="63">
        <v>734</v>
      </c>
      <c r="D34" s="63">
        <v>759</v>
      </c>
      <c r="E34" s="63">
        <v>799</v>
      </c>
      <c r="F34" s="63">
        <v>846</v>
      </c>
      <c r="G34" s="63">
        <v>959.979</v>
      </c>
      <c r="H34" s="63">
        <v>1180.315</v>
      </c>
      <c r="I34" s="63">
        <v>1398.223</v>
      </c>
      <c r="J34" s="63">
        <v>1632.417</v>
      </c>
      <c r="K34" s="63">
        <v>1757.563</v>
      </c>
      <c r="L34" s="244">
        <f t="shared" si="3"/>
        <v>7.6663009512888065</v>
      </c>
      <c r="M34" s="250">
        <f t="shared" si="4"/>
        <v>446.38698044579843</v>
      </c>
      <c r="N34" s="14">
        <v>163</v>
      </c>
      <c r="O34" s="14">
        <v>178</v>
      </c>
      <c r="P34" s="27">
        <v>188</v>
      </c>
      <c r="Q34" s="27">
        <v>202</v>
      </c>
      <c r="R34" s="27">
        <v>216</v>
      </c>
      <c r="S34" s="27">
        <v>228</v>
      </c>
      <c r="T34" s="27">
        <v>234</v>
      </c>
      <c r="U34" s="27">
        <v>244</v>
      </c>
      <c r="V34" s="27">
        <v>258</v>
      </c>
      <c r="W34" s="27">
        <v>268</v>
      </c>
      <c r="X34" s="14">
        <v>275</v>
      </c>
      <c r="Y34" s="36">
        <v>286</v>
      </c>
      <c r="Z34" s="61">
        <v>300</v>
      </c>
      <c r="AA34" s="83">
        <v>307</v>
      </c>
      <c r="AB34" s="61">
        <v>312</v>
      </c>
      <c r="AC34" s="61">
        <v>321.67</v>
      </c>
      <c r="AD34" s="61"/>
      <c r="AE34" s="128">
        <v>733783</v>
      </c>
      <c r="AF34" s="1">
        <f>AE34/1000</f>
        <v>733.783</v>
      </c>
      <c r="AH34" s="3">
        <v>758573</v>
      </c>
      <c r="AI34" s="1">
        <f>AH34/1000</f>
        <v>758.573</v>
      </c>
      <c r="AK34" s="3">
        <v>799003</v>
      </c>
      <c r="AL34" s="1">
        <f>AK34/1000</f>
        <v>799.003</v>
      </c>
      <c r="AN34" s="3">
        <v>846332.5</v>
      </c>
      <c r="AO34" s="1">
        <f>AN34/1000</f>
        <v>846.3325</v>
      </c>
      <c r="AQ34" s="3">
        <v>959979</v>
      </c>
      <c r="AR34" s="1">
        <f>AQ34/1000</f>
        <v>959.979</v>
      </c>
      <c r="AT34" s="3">
        <v>1180315</v>
      </c>
      <c r="AU34" s="1">
        <f>AT34/1000</f>
        <v>1180.315</v>
      </c>
      <c r="AW34" s="3">
        <v>1398223</v>
      </c>
      <c r="AX34" s="1">
        <f>AW34/1000</f>
        <v>1398.223</v>
      </c>
      <c r="AZ34" s="3">
        <v>1632417</v>
      </c>
      <c r="BA34" s="1">
        <f>AZ34/1000</f>
        <v>1632.417</v>
      </c>
      <c r="BC34" s="282">
        <v>1757563</v>
      </c>
      <c r="BD34" s="1">
        <f>BC34/1000</f>
        <v>1757.563</v>
      </c>
    </row>
    <row r="35" spans="2:55" ht="15.75">
      <c r="B35" s="59"/>
      <c r="C35" s="59"/>
      <c r="D35" s="59"/>
      <c r="F35" s="59"/>
      <c r="G35" s="59"/>
      <c r="H35" s="59"/>
      <c r="I35" s="59"/>
      <c r="J35" s="59"/>
      <c r="K35" s="59"/>
      <c r="L35" s="244"/>
      <c r="M35" s="250"/>
      <c r="O35" s="14"/>
      <c r="P35" s="27"/>
      <c r="Q35" s="27"/>
      <c r="R35" s="27"/>
      <c r="S35" s="27"/>
      <c r="T35" s="27"/>
      <c r="U35" s="27"/>
      <c r="V35" s="27"/>
      <c r="W35" s="27"/>
      <c r="X35" s="14"/>
      <c r="Y35" s="36"/>
      <c r="Z35" s="61"/>
      <c r="AA35" s="83"/>
      <c r="AB35" s="61"/>
      <c r="AC35" s="61"/>
      <c r="AD35" s="61"/>
      <c r="AE35" s="128"/>
      <c r="AF35" s="1"/>
      <c r="BC35" s="282"/>
    </row>
    <row r="36" spans="1:56" ht="15.75">
      <c r="A36" s="1" t="s">
        <v>26</v>
      </c>
      <c r="B36" s="63">
        <v>1381</v>
      </c>
      <c r="C36" s="63">
        <v>3751</v>
      </c>
      <c r="D36" s="63">
        <v>4068</v>
      </c>
      <c r="E36" s="63">
        <v>4518</v>
      </c>
      <c r="F36" s="63">
        <v>5141</v>
      </c>
      <c r="G36" s="63">
        <v>5813.225</v>
      </c>
      <c r="H36" s="63">
        <v>6749.46</v>
      </c>
      <c r="I36" s="63">
        <v>7929.251</v>
      </c>
      <c r="J36" s="63">
        <v>9155.628</v>
      </c>
      <c r="K36" s="63">
        <v>10142.501</v>
      </c>
      <c r="L36" s="244">
        <f t="shared" si="3"/>
        <v>10.778867380806641</v>
      </c>
      <c r="M36" s="250">
        <f t="shared" si="4"/>
        <v>638.3237486532919</v>
      </c>
      <c r="N36" s="14">
        <v>491</v>
      </c>
      <c r="O36" s="14">
        <v>547</v>
      </c>
      <c r="P36" s="27">
        <v>612</v>
      </c>
      <c r="Q36" s="27">
        <v>678</v>
      </c>
      <c r="R36" s="27">
        <v>755</v>
      </c>
      <c r="S36" s="27">
        <v>838</v>
      </c>
      <c r="T36" s="27">
        <v>925</v>
      </c>
      <c r="U36" s="27">
        <v>1031</v>
      </c>
      <c r="V36" s="27">
        <v>1137</v>
      </c>
      <c r="W36" s="27">
        <v>1179</v>
      </c>
      <c r="X36" s="14">
        <v>1194</v>
      </c>
      <c r="Y36" s="36">
        <v>1208</v>
      </c>
      <c r="Z36" s="61">
        <v>1237</v>
      </c>
      <c r="AA36" s="83">
        <v>1273</v>
      </c>
      <c r="AB36" s="61">
        <v>1319</v>
      </c>
      <c r="AC36" s="61">
        <v>1373.72</v>
      </c>
      <c r="AD36" s="61"/>
      <c r="AE36" s="128">
        <v>3750568</v>
      </c>
      <c r="AF36" s="1">
        <f>AE36/1000</f>
        <v>3750.568</v>
      </c>
      <c r="AH36" s="3">
        <v>4068200</v>
      </c>
      <c r="AI36" s="1">
        <f>AH36/1000</f>
        <v>4068.2</v>
      </c>
      <c r="AK36" s="3">
        <v>4517967</v>
      </c>
      <c r="AL36" s="1">
        <f>AK36/1000</f>
        <v>4517.967</v>
      </c>
      <c r="AN36" s="3">
        <v>5141206.5</v>
      </c>
      <c r="AO36" s="1">
        <f>AN36/1000</f>
        <v>5141.2065</v>
      </c>
      <c r="AQ36" s="3">
        <v>5813225</v>
      </c>
      <c r="AR36" s="1">
        <f>AQ36/1000</f>
        <v>5813.225</v>
      </c>
      <c r="AT36" s="3">
        <v>6749460</v>
      </c>
      <c r="AU36" s="1">
        <f>AT36/1000</f>
        <v>6749.46</v>
      </c>
      <c r="AW36" s="3">
        <v>7929251</v>
      </c>
      <c r="AX36" s="1">
        <f>AW36/1000</f>
        <v>7929.251</v>
      </c>
      <c r="AZ36" s="3">
        <v>9155628</v>
      </c>
      <c r="BA36" s="1">
        <f>AZ36/1000</f>
        <v>9155.628</v>
      </c>
      <c r="BC36" s="282">
        <v>10142501</v>
      </c>
      <c r="BD36" s="1">
        <f>BC36/1000</f>
        <v>10142.501</v>
      </c>
    </row>
    <row r="37" spans="1:56" ht="15.75">
      <c r="A37" s="1" t="s">
        <v>27</v>
      </c>
      <c r="B37" s="63">
        <v>2875</v>
      </c>
      <c r="C37" s="63">
        <v>6885</v>
      </c>
      <c r="D37" s="63">
        <v>7015</v>
      </c>
      <c r="E37" s="63">
        <v>7673</v>
      </c>
      <c r="F37" s="63">
        <v>7952</v>
      </c>
      <c r="G37" s="63">
        <v>8658.065</v>
      </c>
      <c r="H37" s="63">
        <v>10114.170858</v>
      </c>
      <c r="I37" s="63">
        <v>11941.203</v>
      </c>
      <c r="J37" s="63">
        <v>13768.572</v>
      </c>
      <c r="K37" s="63">
        <v>14877.217</v>
      </c>
      <c r="L37" s="244">
        <f t="shared" si="3"/>
        <v>8.0519969681678</v>
      </c>
      <c r="M37" s="250">
        <f t="shared" si="4"/>
        <v>438.9964023955046</v>
      </c>
      <c r="N37" s="14">
        <v>1074</v>
      </c>
      <c r="O37" s="14">
        <v>1130</v>
      </c>
      <c r="P37" s="27">
        <v>1202</v>
      </c>
      <c r="Q37" s="27">
        <v>1284</v>
      </c>
      <c r="R37" s="27">
        <v>1383</v>
      </c>
      <c r="S37" s="27">
        <v>1523</v>
      </c>
      <c r="T37" s="27">
        <v>1620</v>
      </c>
      <c r="U37" s="27">
        <v>1785</v>
      </c>
      <c r="V37" s="27">
        <v>1916</v>
      </c>
      <c r="W37" s="27">
        <v>2070</v>
      </c>
      <c r="X37" s="14">
        <v>2204</v>
      </c>
      <c r="Y37" s="36">
        <v>2310</v>
      </c>
      <c r="Z37" s="61">
        <v>2443</v>
      </c>
      <c r="AA37" s="83">
        <v>2569</v>
      </c>
      <c r="AB37" s="61">
        <v>2639</v>
      </c>
      <c r="AC37" s="61">
        <v>2760.17</v>
      </c>
      <c r="AD37" s="61"/>
      <c r="AE37" s="128">
        <v>6885247</v>
      </c>
      <c r="AF37" s="1">
        <f>AE37/1000</f>
        <v>6885.247</v>
      </c>
      <c r="AH37" s="3">
        <v>7015202</v>
      </c>
      <c r="AI37" s="1">
        <f>AH37/1000</f>
        <v>7015.202</v>
      </c>
      <c r="AK37" s="3">
        <v>7673262</v>
      </c>
      <c r="AL37" s="1">
        <f>AK37/1000</f>
        <v>7673.262</v>
      </c>
      <c r="AN37" s="3">
        <v>7951849</v>
      </c>
      <c r="AO37" s="1">
        <f>AN37/1000</f>
        <v>7951.849</v>
      </c>
      <c r="AQ37" s="3">
        <v>8658065</v>
      </c>
      <c r="AR37" s="1">
        <f>AQ37/1000</f>
        <v>8658.065</v>
      </c>
      <c r="AT37" s="3">
        <v>10114170.858</v>
      </c>
      <c r="AU37" s="1">
        <f>AT37/1000</f>
        <v>10114.170858</v>
      </c>
      <c r="AW37" s="3">
        <v>11941203</v>
      </c>
      <c r="AX37" s="1">
        <f>AW37/1000</f>
        <v>11941.203</v>
      </c>
      <c r="AZ37" s="3">
        <v>13768572</v>
      </c>
      <c r="BA37" s="1">
        <f>AZ37/1000</f>
        <v>13768.572</v>
      </c>
      <c r="BC37" s="282">
        <v>14877217</v>
      </c>
      <c r="BD37" s="1">
        <f>BC37/1000</f>
        <v>14877.217</v>
      </c>
    </row>
    <row r="38" spans="1:56" ht="15.75">
      <c r="A38" s="1" t="s">
        <v>28</v>
      </c>
      <c r="B38" s="63">
        <v>1822</v>
      </c>
      <c r="C38" s="63">
        <v>3964</v>
      </c>
      <c r="D38" s="63">
        <v>4104</v>
      </c>
      <c r="E38" s="63">
        <v>4336</v>
      </c>
      <c r="F38" s="63">
        <v>4619</v>
      </c>
      <c r="G38" s="63">
        <v>4933.329</v>
      </c>
      <c r="H38" s="63">
        <v>5617.482</v>
      </c>
      <c r="I38" s="63">
        <v>6317.844</v>
      </c>
      <c r="J38" s="63">
        <v>7211.174</v>
      </c>
      <c r="K38" s="63">
        <v>7774.844</v>
      </c>
      <c r="L38" s="244">
        <f t="shared" si="3"/>
        <v>7.8166190415042</v>
      </c>
      <c r="M38" s="250">
        <f t="shared" si="4"/>
        <v>346.43755777965356</v>
      </c>
      <c r="N38" s="14">
        <v>737</v>
      </c>
      <c r="O38" s="14">
        <v>776</v>
      </c>
      <c r="P38" s="27">
        <v>851</v>
      </c>
      <c r="Q38" s="27">
        <v>939</v>
      </c>
      <c r="R38" s="27">
        <v>1026</v>
      </c>
      <c r="S38" s="27">
        <v>1117</v>
      </c>
      <c r="T38" s="27">
        <v>1178</v>
      </c>
      <c r="U38" s="27">
        <v>1260</v>
      </c>
      <c r="V38" s="27">
        <v>1329</v>
      </c>
      <c r="W38" s="27">
        <v>1390</v>
      </c>
      <c r="X38" s="14">
        <v>1450</v>
      </c>
      <c r="Y38" s="14">
        <v>1469</v>
      </c>
      <c r="Z38" s="61">
        <v>1572</v>
      </c>
      <c r="AA38" s="83">
        <v>1615</v>
      </c>
      <c r="AB38" s="61">
        <v>1647</v>
      </c>
      <c r="AC38" s="61">
        <v>1741.53</v>
      </c>
      <c r="AD38" s="61"/>
      <c r="AE38" s="128">
        <v>3963974</v>
      </c>
      <c r="AF38" s="1">
        <f>AE38/1000</f>
        <v>3963.974</v>
      </c>
      <c r="AH38" s="3">
        <v>4104142</v>
      </c>
      <c r="AI38" s="1">
        <f>AH38/1000</f>
        <v>4104.142</v>
      </c>
      <c r="AK38" s="3">
        <v>4335777</v>
      </c>
      <c r="AL38" s="1">
        <f>AK38/1000</f>
        <v>4335.777</v>
      </c>
      <c r="AN38" s="3">
        <v>4618506.5</v>
      </c>
      <c r="AO38" s="1">
        <f>AN38/1000</f>
        <v>4618.5065</v>
      </c>
      <c r="AQ38" s="3">
        <v>4933329</v>
      </c>
      <c r="AR38" s="1">
        <f>AQ38/1000</f>
        <v>4933.329</v>
      </c>
      <c r="AT38" s="3">
        <v>5617482</v>
      </c>
      <c r="AU38" s="1">
        <f>AT38/1000</f>
        <v>5617.482</v>
      </c>
      <c r="AW38" s="3">
        <v>6317844</v>
      </c>
      <c r="AX38" s="1">
        <f>AW38/1000</f>
        <v>6317.844</v>
      </c>
      <c r="AZ38" s="3">
        <v>7211174</v>
      </c>
      <c r="BA38" s="1">
        <f>AZ38/1000</f>
        <v>7211.174</v>
      </c>
      <c r="BC38" s="282">
        <v>7774844</v>
      </c>
      <c r="BD38" s="1">
        <f>BC38/1000</f>
        <v>7774.844</v>
      </c>
    </row>
    <row r="39" spans="1:56" ht="16.5" thickBot="1">
      <c r="A39" s="1" t="s">
        <v>29</v>
      </c>
      <c r="B39" s="63">
        <v>2677</v>
      </c>
      <c r="C39" s="63">
        <v>6701</v>
      </c>
      <c r="D39" s="63">
        <v>7239</v>
      </c>
      <c r="E39" s="63">
        <v>8401</v>
      </c>
      <c r="F39" s="63">
        <v>10007</v>
      </c>
      <c r="G39" s="63">
        <v>11563.922</v>
      </c>
      <c r="H39" s="63">
        <v>14483.821</v>
      </c>
      <c r="I39" s="63">
        <v>17338.701</v>
      </c>
      <c r="J39" s="63">
        <v>20416.919</v>
      </c>
      <c r="K39" s="63">
        <v>19292.626</v>
      </c>
      <c r="L39" s="244">
        <f t="shared" si="3"/>
        <v>-5.506673166504708</v>
      </c>
      <c r="M39" s="250">
        <f t="shared" si="4"/>
        <v>646.0729574730558</v>
      </c>
      <c r="N39" s="14">
        <v>1010</v>
      </c>
      <c r="O39" s="14">
        <v>1225</v>
      </c>
      <c r="P39" s="27">
        <v>1415</v>
      </c>
      <c r="Q39" s="27">
        <v>1605</v>
      </c>
      <c r="R39" s="27">
        <v>1744</v>
      </c>
      <c r="S39" s="27">
        <v>1881</v>
      </c>
      <c r="T39" s="27">
        <v>1962</v>
      </c>
      <c r="U39" s="27">
        <v>2048</v>
      </c>
      <c r="V39" s="27">
        <v>2111</v>
      </c>
      <c r="W39" s="27">
        <v>2248</v>
      </c>
      <c r="X39" s="14">
        <v>2291</v>
      </c>
      <c r="Y39" s="14">
        <v>2309</v>
      </c>
      <c r="Z39" s="61">
        <v>2375</v>
      </c>
      <c r="AA39" s="83">
        <v>2420</v>
      </c>
      <c r="AB39" s="61">
        <v>2487</v>
      </c>
      <c r="AC39" s="61">
        <v>2585.89</v>
      </c>
      <c r="AD39" s="61"/>
      <c r="AE39" s="129">
        <v>6700745</v>
      </c>
      <c r="AF39" s="1">
        <f>AE39/1000</f>
        <v>6700.745</v>
      </c>
      <c r="AH39" s="3">
        <v>7239037</v>
      </c>
      <c r="AI39" s="1">
        <f>AH39/1000</f>
        <v>7239.037</v>
      </c>
      <c r="AK39" s="3">
        <v>8400551</v>
      </c>
      <c r="AL39" s="1">
        <f>AK39/1000</f>
        <v>8400.551</v>
      </c>
      <c r="AN39" s="3">
        <v>10006803</v>
      </c>
      <c r="AO39" s="1">
        <f>AN39/1000</f>
        <v>10006.803</v>
      </c>
      <c r="AQ39" s="3">
        <v>11563922</v>
      </c>
      <c r="AR39" s="1">
        <f>AQ39/1000</f>
        <v>11563.922</v>
      </c>
      <c r="AT39" s="3">
        <v>14483821</v>
      </c>
      <c r="AU39" s="1">
        <f>AT39/1000</f>
        <v>14483.821</v>
      </c>
      <c r="AW39" s="3">
        <v>17338701</v>
      </c>
      <c r="AX39" s="1">
        <f>AW39/1000</f>
        <v>17338.701</v>
      </c>
      <c r="AZ39" s="3">
        <v>20416919</v>
      </c>
      <c r="BA39" s="1">
        <f>AZ39/1000</f>
        <v>20416.919</v>
      </c>
      <c r="BC39" s="284">
        <v>19292626</v>
      </c>
      <c r="BD39" s="1">
        <f>BC39/1000</f>
        <v>19292.626</v>
      </c>
    </row>
    <row r="40" spans="1:53" ht="12.75">
      <c r="A40" s="18"/>
      <c r="B40" s="18"/>
      <c r="C40" s="18"/>
      <c r="D40" s="18"/>
      <c r="E40" s="64"/>
      <c r="F40" s="64"/>
      <c r="G40" s="64"/>
      <c r="H40" s="64"/>
      <c r="I40" s="64"/>
      <c r="J40" s="64"/>
      <c r="K40" s="64"/>
      <c r="L40" s="64"/>
      <c r="M40" s="18"/>
      <c r="N40" s="18"/>
      <c r="O40" s="18"/>
      <c r="P40" s="18"/>
      <c r="Q40" s="18"/>
      <c r="Y40" s="18"/>
      <c r="BA40" s="3">
        <f>SUM(BA12:BA39)</f>
        <v>728060.012</v>
      </c>
    </row>
    <row r="41" spans="1:12" ht="12.75">
      <c r="A41" s="1" t="s">
        <v>237</v>
      </c>
      <c r="F41" s="59"/>
      <c r="G41" s="59"/>
      <c r="H41" s="59"/>
      <c r="I41" s="59"/>
      <c r="J41" s="59"/>
      <c r="K41" s="59"/>
      <c r="L41" s="59"/>
    </row>
    <row r="42" spans="6:17" ht="12.75">
      <c r="F42" s="59"/>
      <c r="G42" s="59"/>
      <c r="H42" s="59"/>
      <c r="I42" s="59"/>
      <c r="J42" s="59"/>
      <c r="K42" s="59"/>
      <c r="L42" s="59"/>
      <c r="O42" s="14"/>
      <c r="P42" s="14"/>
      <c r="Q42" s="14"/>
    </row>
    <row r="43" spans="15:17" ht="12.75">
      <c r="O43" s="14"/>
      <c r="P43" s="14"/>
      <c r="Q43" s="14"/>
    </row>
    <row r="44" spans="15:17" ht="12.75">
      <c r="O44" s="14"/>
      <c r="P44" s="14"/>
      <c r="Q44" s="14"/>
    </row>
    <row r="45" spans="15:17" ht="12.75">
      <c r="O45" s="14"/>
      <c r="P45" s="14"/>
      <c r="Q45" s="14"/>
    </row>
    <row r="46" spans="15:17" ht="12.75">
      <c r="O46" s="14"/>
      <c r="P46" s="14"/>
      <c r="Q46" s="14"/>
    </row>
  </sheetData>
  <sheetProtection password="CAF5" sheet="1"/>
  <mergeCells count="1">
    <mergeCell ref="A4:M4"/>
  </mergeCells>
  <printOptions/>
  <pageMargins left="0.56" right="0.5" top="1" bottom="0.97" header="0.5" footer="0.5"/>
  <pageSetup fitToHeight="1" fitToWidth="1" orientation="landscape" scale="78" r:id="rId1"/>
  <headerFooter scaleWithDoc="0" alignWithMargins="0">
    <oddFooter>&amp;L&amp;"Arial,Italic"&amp;10MSDE-LFRO  10 / 2011&amp;C&amp;"Arial,Regular"&amp;10- 17 -&amp;R&amp;"Arial,Italic"&amp;10Selected Financial Data - Part 4</oddFooter>
  </headerFooter>
  <rowBreaks count="1" manualBreakCount="1">
    <brk id="4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7"/>
  <sheetViews>
    <sheetView zoomScalePageLayoutView="0" workbookViewId="0" topLeftCell="A25">
      <selection activeCell="E42" sqref="E42"/>
    </sheetView>
  </sheetViews>
  <sheetFormatPr defaultColWidth="10.00390625" defaultRowHeight="15.75"/>
  <cols>
    <col min="1" max="1" width="12.875" style="1" customWidth="1"/>
    <col min="2" max="8" width="12.625" style="1" customWidth="1"/>
    <col min="9" max="9" width="12.125" style="1" customWidth="1"/>
    <col min="10" max="11" width="11.25390625" style="1" customWidth="1"/>
    <col min="12" max="12" width="7.625" style="1" customWidth="1"/>
    <col min="13" max="13" width="7.375" style="1" customWidth="1"/>
    <col min="14" max="14" width="9.125" style="1" customWidth="1"/>
    <col min="15" max="24" width="10.125" style="1" customWidth="1"/>
    <col min="25" max="25" width="12.625" style="1" customWidth="1"/>
    <col min="26" max="30" width="10.125" style="1" customWidth="1"/>
    <col min="31" max="49" width="10.125" style="3" customWidth="1"/>
    <col min="50" max="16384" width="10.00390625" style="3" customWidth="1"/>
  </cols>
  <sheetData>
    <row r="1" spans="1:25" ht="15.75" customHeight="1">
      <c r="A1" s="115" t="s">
        <v>100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0"/>
      <c r="O1" s="2"/>
      <c r="P1" s="2"/>
      <c r="Q1" s="2"/>
      <c r="Y1" s="115"/>
    </row>
    <row r="2" spans="1:25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Y2" s="115"/>
    </row>
    <row r="3" spans="1:25" ht="12.75">
      <c r="A3" s="115" t="s">
        <v>238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"/>
      <c r="O3" s="10"/>
      <c r="P3" s="10"/>
      <c r="Q3" s="10"/>
      <c r="Y3" s="115"/>
    </row>
    <row r="4" spans="1:34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201"/>
      <c r="P4" s="201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1"/>
    </row>
    <row r="5" ht="13.5" thickBot="1"/>
    <row r="6" spans="1:37" ht="13.5" thickTop="1">
      <c r="A6" s="5"/>
      <c r="B6" s="5"/>
      <c r="C6" s="5"/>
      <c r="D6" s="5"/>
      <c r="E6" s="5"/>
      <c r="F6" s="5"/>
      <c r="G6" s="5"/>
      <c r="H6" s="219"/>
      <c r="I6" s="219"/>
      <c r="J6" s="219"/>
      <c r="K6" s="219"/>
      <c r="L6" s="5"/>
      <c r="M6" s="5"/>
      <c r="N6" s="5"/>
      <c r="O6" s="5"/>
      <c r="P6" s="5"/>
      <c r="Q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121</v>
      </c>
      <c r="AF6" s="5" t="s">
        <v>121</v>
      </c>
      <c r="AG6" s="5" t="s">
        <v>121</v>
      </c>
      <c r="AH6" s="5" t="s">
        <v>121</v>
      </c>
      <c r="AI6" s="5" t="s">
        <v>121</v>
      </c>
      <c r="AJ6" s="5" t="s">
        <v>121</v>
      </c>
      <c r="AK6" s="5" t="s">
        <v>121</v>
      </c>
    </row>
    <row r="7" spans="3:37" ht="15.75">
      <c r="C7" s="61"/>
      <c r="D7" s="61"/>
      <c r="H7" s="220"/>
      <c r="I7" s="220"/>
      <c r="J7" s="220"/>
      <c r="K7" s="220"/>
      <c r="L7" s="38" t="s">
        <v>34</v>
      </c>
      <c r="M7" s="38"/>
      <c r="AE7" s="1" t="s">
        <v>89</v>
      </c>
      <c r="AF7" s="1" t="s">
        <v>89</v>
      </c>
      <c r="AG7" s="1" t="s">
        <v>89</v>
      </c>
      <c r="AH7" s="1" t="s">
        <v>89</v>
      </c>
      <c r="AI7" s="1" t="s">
        <v>89</v>
      </c>
      <c r="AJ7" s="1" t="s">
        <v>89</v>
      </c>
      <c r="AK7" s="1" t="s">
        <v>89</v>
      </c>
    </row>
    <row r="8" spans="1:37" ht="15.75">
      <c r="A8" s="7"/>
      <c r="B8" s="7"/>
      <c r="C8" s="62"/>
      <c r="D8" s="62"/>
      <c r="E8" s="7"/>
      <c r="F8" s="7"/>
      <c r="G8" s="7"/>
      <c r="H8" s="220"/>
      <c r="I8" s="220"/>
      <c r="J8" s="220"/>
      <c r="L8" s="29" t="s">
        <v>85</v>
      </c>
      <c r="M8" s="29" t="s">
        <v>86</v>
      </c>
      <c r="O8" s="7"/>
      <c r="P8" s="7"/>
      <c r="Q8" s="7"/>
      <c r="U8" s="7"/>
      <c r="V8" s="7"/>
      <c r="W8" s="7"/>
      <c r="X8" s="7"/>
      <c r="Y8" s="7"/>
      <c r="Z8" s="7"/>
      <c r="AA8" s="7"/>
      <c r="AB8" s="7"/>
      <c r="AC8" s="7"/>
      <c r="AD8" s="7"/>
      <c r="AE8" s="7" t="s">
        <v>122</v>
      </c>
      <c r="AF8" s="7" t="s">
        <v>122</v>
      </c>
      <c r="AG8" s="7" t="s">
        <v>122</v>
      </c>
      <c r="AH8" s="7" t="s">
        <v>122</v>
      </c>
      <c r="AI8" s="7" t="s">
        <v>122</v>
      </c>
      <c r="AJ8" s="7" t="s">
        <v>122</v>
      </c>
      <c r="AK8" s="7" t="s">
        <v>122</v>
      </c>
    </row>
    <row r="9" spans="1:37" ht="13.5" thickBot="1">
      <c r="A9" s="8" t="s">
        <v>1</v>
      </c>
      <c r="B9" s="40" t="s">
        <v>105</v>
      </c>
      <c r="C9" s="40" t="s">
        <v>161</v>
      </c>
      <c r="D9" s="40" t="s">
        <v>168</v>
      </c>
      <c r="E9" s="40" t="s">
        <v>184</v>
      </c>
      <c r="F9" s="40" t="s">
        <v>194</v>
      </c>
      <c r="G9" s="40" t="s">
        <v>208</v>
      </c>
      <c r="H9" s="40" t="s">
        <v>243</v>
      </c>
      <c r="I9" s="40" t="s">
        <v>256</v>
      </c>
      <c r="J9" s="9" t="s">
        <v>269</v>
      </c>
      <c r="K9" s="9" t="s">
        <v>284</v>
      </c>
      <c r="L9" s="40" t="s">
        <v>84</v>
      </c>
      <c r="M9" s="40" t="s">
        <v>84</v>
      </c>
      <c r="N9" s="10" t="s">
        <v>55</v>
      </c>
      <c r="O9" s="9" t="s">
        <v>53</v>
      </c>
      <c r="P9" s="9" t="s">
        <v>31</v>
      </c>
      <c r="Q9" s="9" t="s">
        <v>64</v>
      </c>
      <c r="R9" s="9" t="s">
        <v>32</v>
      </c>
      <c r="S9" s="9" t="s">
        <v>45</v>
      </c>
      <c r="T9" s="9" t="s">
        <v>3</v>
      </c>
      <c r="U9" s="9" t="s">
        <v>50</v>
      </c>
      <c r="V9" s="9" t="s">
        <v>33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3"/>
      <c r="AE9" s="1" t="s">
        <v>193</v>
      </c>
      <c r="AF9" s="1" t="s">
        <v>207</v>
      </c>
      <c r="AG9" s="1" t="s">
        <v>222</v>
      </c>
      <c r="AH9" s="1" t="s">
        <v>245</v>
      </c>
      <c r="AI9" s="1" t="s">
        <v>267</v>
      </c>
      <c r="AJ9" s="1" t="s">
        <v>275</v>
      </c>
      <c r="AK9" s="1" t="s">
        <v>285</v>
      </c>
    </row>
    <row r="10" spans="1:37" ht="13.5" thickTop="1">
      <c r="A10" s="7" t="s">
        <v>5</v>
      </c>
      <c r="B10" s="84">
        <v>175636</v>
      </c>
      <c r="C10" s="84">
        <v>408593</v>
      </c>
      <c r="D10" s="84">
        <v>423674</v>
      </c>
      <c r="E10" s="84">
        <v>453837</v>
      </c>
      <c r="F10" s="84">
        <v>498980</v>
      </c>
      <c r="G10" s="252">
        <v>557665.2959342154</v>
      </c>
      <c r="H10" s="252">
        <v>654718.7886086161</v>
      </c>
      <c r="I10" s="252">
        <v>764147.5591823213</v>
      </c>
      <c r="J10" s="252">
        <v>892512.5983460457</v>
      </c>
      <c r="K10" s="252">
        <v>948148.6725533354</v>
      </c>
      <c r="L10" s="244">
        <f>(K10-J10)*100/J10</f>
        <v>6.233645811878889</v>
      </c>
      <c r="M10" s="250">
        <f>((K10-AC10)*100)/AC10</f>
        <v>454.35620135722036</v>
      </c>
      <c r="N10" s="13">
        <v>83694</v>
      </c>
      <c r="O10" s="11">
        <v>92536</v>
      </c>
      <c r="P10" s="11">
        <v>101222</v>
      </c>
      <c r="Q10" s="11">
        <v>110384</v>
      </c>
      <c r="R10" s="11">
        <v>119850</v>
      </c>
      <c r="S10" s="11">
        <v>129787</v>
      </c>
      <c r="T10" s="11">
        <v>137556</v>
      </c>
      <c r="U10" s="11">
        <v>146120</v>
      </c>
      <c r="V10" s="11">
        <v>156163</v>
      </c>
      <c r="W10" s="11">
        <v>160457</v>
      </c>
      <c r="X10" s="11">
        <v>161323</v>
      </c>
      <c r="Y10" s="11">
        <v>160750</v>
      </c>
      <c r="Z10" s="65">
        <v>162899</v>
      </c>
      <c r="AA10" s="65">
        <v>164076</v>
      </c>
      <c r="AB10" s="84">
        <v>166351</v>
      </c>
      <c r="AC10" s="84">
        <v>171036</v>
      </c>
      <c r="AD10" s="65"/>
      <c r="AE10" s="1">
        <v>453837</v>
      </c>
      <c r="AF10" s="3">
        <v>498980</v>
      </c>
      <c r="AG10" s="3">
        <v>557665.2959342154</v>
      </c>
      <c r="AH10" s="3">
        <v>654718.7886086161</v>
      </c>
      <c r="AI10" s="3">
        <v>764147.5591823213</v>
      </c>
      <c r="AJ10" s="3">
        <v>892512.5983460457</v>
      </c>
      <c r="AK10" s="3">
        <v>948148.6725533354</v>
      </c>
    </row>
    <row r="11" spans="12:31" ht="12.75">
      <c r="L11" s="30"/>
      <c r="M11" s="89"/>
      <c r="O11" s="14"/>
      <c r="R11" s="14"/>
      <c r="S11" s="14"/>
      <c r="X11" s="14"/>
      <c r="Y11" s="14"/>
      <c r="Z11" s="65"/>
      <c r="AA11" s="65"/>
      <c r="AD11" s="65"/>
      <c r="AE11" s="1"/>
    </row>
    <row r="12" spans="1:37" ht="12.75">
      <c r="A12" s="1" t="s">
        <v>6</v>
      </c>
      <c r="B12" s="1">
        <v>146939</v>
      </c>
      <c r="C12" s="1">
        <v>259095</v>
      </c>
      <c r="D12" s="1">
        <v>257094</v>
      </c>
      <c r="E12" s="1">
        <v>268029</v>
      </c>
      <c r="F12" s="1">
        <v>279205</v>
      </c>
      <c r="G12" s="1">
        <v>292395.60346739023</v>
      </c>
      <c r="H12" s="1">
        <v>316736.73727850366</v>
      </c>
      <c r="I12" s="1">
        <v>337855.06898358365</v>
      </c>
      <c r="J12" s="1">
        <v>379298.34315578785</v>
      </c>
      <c r="K12" s="1">
        <v>435842.06469295116</v>
      </c>
      <c r="L12" s="244">
        <f aca="true" t="shared" si="0" ref="L12:L39">(K12-J12)*100/J12</f>
        <v>14.907452815827172</v>
      </c>
      <c r="M12" s="250">
        <f>((K12-AC12)*100)/AC12</f>
        <v>195.29995642947236</v>
      </c>
      <c r="N12" s="14">
        <v>62971</v>
      </c>
      <c r="O12" s="14">
        <v>69917</v>
      </c>
      <c r="P12" s="14">
        <v>76208</v>
      </c>
      <c r="Q12" s="27">
        <v>78074</v>
      </c>
      <c r="R12" s="27">
        <v>79328</v>
      </c>
      <c r="S12" s="27">
        <v>84581</v>
      </c>
      <c r="T12" s="27">
        <v>93221</v>
      </c>
      <c r="U12" s="27">
        <v>106085</v>
      </c>
      <c r="V12" s="27">
        <v>109391</v>
      </c>
      <c r="W12" s="27">
        <v>110998</v>
      </c>
      <c r="X12" s="14">
        <v>111727</v>
      </c>
      <c r="Y12" s="14">
        <v>109449</v>
      </c>
      <c r="Z12" s="63">
        <v>108163</v>
      </c>
      <c r="AA12" s="63">
        <v>107474</v>
      </c>
      <c r="AB12" s="1">
        <v>121976</v>
      </c>
      <c r="AC12" s="1">
        <v>147593</v>
      </c>
      <c r="AD12" s="63"/>
      <c r="AE12" s="1">
        <v>268029</v>
      </c>
      <c r="AF12" s="3">
        <v>279205</v>
      </c>
      <c r="AG12" s="3">
        <v>292395.60346739023</v>
      </c>
      <c r="AH12" s="3">
        <v>316736.73727850366</v>
      </c>
      <c r="AI12" s="3">
        <v>337855.06898358365</v>
      </c>
      <c r="AJ12" s="3">
        <v>379298.34315578785</v>
      </c>
      <c r="AK12" s="3">
        <v>435842.06469295116</v>
      </c>
    </row>
    <row r="13" spans="1:37" ht="12.75">
      <c r="A13" s="1" t="s">
        <v>7</v>
      </c>
      <c r="B13" s="1">
        <v>210401</v>
      </c>
      <c r="C13" s="1">
        <v>500076</v>
      </c>
      <c r="D13" s="1">
        <v>533494</v>
      </c>
      <c r="E13" s="1">
        <v>577628</v>
      </c>
      <c r="F13" s="1">
        <v>644762</v>
      </c>
      <c r="G13" s="1">
        <v>724563.3429627348</v>
      </c>
      <c r="H13" s="1">
        <v>848556.8717789004</v>
      </c>
      <c r="I13" s="1">
        <v>989089.4507858725</v>
      </c>
      <c r="J13" s="1">
        <v>1144559.0112422316</v>
      </c>
      <c r="K13" s="1">
        <v>1209032.254921068</v>
      </c>
      <c r="L13" s="244">
        <f t="shared" si="0"/>
        <v>5.633020494842047</v>
      </c>
      <c r="M13" s="250">
        <f>((K13-AC13)*100)/AC13</f>
        <v>488.61183566097446</v>
      </c>
      <c r="N13" s="14">
        <v>79501</v>
      </c>
      <c r="O13" s="14">
        <v>92581</v>
      </c>
      <c r="P13" s="14">
        <v>100788</v>
      </c>
      <c r="Q13" s="27">
        <v>111466</v>
      </c>
      <c r="R13" s="27">
        <v>120712</v>
      </c>
      <c r="S13" s="27">
        <v>133211</v>
      </c>
      <c r="T13" s="27">
        <v>144478</v>
      </c>
      <c r="U13" s="27">
        <v>155534</v>
      </c>
      <c r="V13" s="27">
        <v>178437</v>
      </c>
      <c r="W13" s="27">
        <v>187653</v>
      </c>
      <c r="X13" s="14">
        <v>191604</v>
      </c>
      <c r="Y13" s="14">
        <v>192297</v>
      </c>
      <c r="Z13" s="63">
        <v>194030</v>
      </c>
      <c r="AA13" s="63">
        <v>195889</v>
      </c>
      <c r="AB13" s="1">
        <v>200371</v>
      </c>
      <c r="AC13" s="1">
        <v>205404</v>
      </c>
      <c r="AD13" s="63"/>
      <c r="AE13" s="1">
        <v>577628</v>
      </c>
      <c r="AF13" s="3">
        <v>644762</v>
      </c>
      <c r="AG13" s="3">
        <v>724563.3429627348</v>
      </c>
      <c r="AH13" s="3">
        <v>848556.8717789004</v>
      </c>
      <c r="AI13" s="3">
        <v>989089.4507858725</v>
      </c>
      <c r="AJ13" s="3">
        <v>1144559.0112422316</v>
      </c>
      <c r="AK13" s="3">
        <v>1209032.254921068</v>
      </c>
    </row>
    <row r="14" spans="1:37" ht="12.75">
      <c r="A14" s="1" t="s">
        <v>8</v>
      </c>
      <c r="B14" s="1">
        <v>90825</v>
      </c>
      <c r="C14" s="1">
        <v>203324</v>
      </c>
      <c r="D14" s="1">
        <v>210544</v>
      </c>
      <c r="E14" s="1">
        <v>224410</v>
      </c>
      <c r="F14" s="1">
        <v>248184</v>
      </c>
      <c r="G14" s="1">
        <v>270714.15875766834</v>
      </c>
      <c r="H14" s="1">
        <v>310179.34542673436</v>
      </c>
      <c r="I14" s="1">
        <v>365050.5378189616</v>
      </c>
      <c r="J14" s="1">
        <v>434483.7495590715</v>
      </c>
      <c r="K14" s="1">
        <v>490431.31589423533</v>
      </c>
      <c r="L14" s="244">
        <f t="shared" si="0"/>
        <v>12.876791454672649</v>
      </c>
      <c r="M14" s="250">
        <f>((K14-AC14)*100)/AC14</f>
        <v>455.7484287219229</v>
      </c>
      <c r="N14" s="14">
        <v>46933</v>
      </c>
      <c r="O14" s="14">
        <v>51895</v>
      </c>
      <c r="P14" s="14">
        <v>56511</v>
      </c>
      <c r="Q14" s="27">
        <v>62233</v>
      </c>
      <c r="R14" s="27">
        <v>67323</v>
      </c>
      <c r="S14" s="27">
        <v>72915</v>
      </c>
      <c r="T14" s="27">
        <v>74722</v>
      </c>
      <c r="U14" s="27">
        <v>78316</v>
      </c>
      <c r="V14" s="27">
        <v>79103</v>
      </c>
      <c r="W14" s="27">
        <v>79313</v>
      </c>
      <c r="X14" s="14">
        <v>80438</v>
      </c>
      <c r="Y14" s="14">
        <v>80812</v>
      </c>
      <c r="Z14" s="63">
        <v>81119</v>
      </c>
      <c r="AA14" s="63">
        <v>81653</v>
      </c>
      <c r="AB14" s="1">
        <v>84260</v>
      </c>
      <c r="AC14" s="1">
        <v>88247</v>
      </c>
      <c r="AD14" s="63"/>
      <c r="AE14" s="1">
        <v>224410</v>
      </c>
      <c r="AF14" s="3">
        <v>248184</v>
      </c>
      <c r="AG14" s="3">
        <v>270714.15875766834</v>
      </c>
      <c r="AH14" s="3">
        <v>310179.34542673436</v>
      </c>
      <c r="AI14" s="3">
        <v>365050.5378189616</v>
      </c>
      <c r="AJ14" s="3">
        <v>434483.7495590715</v>
      </c>
      <c r="AK14" s="3">
        <v>490431.31589423533</v>
      </c>
    </row>
    <row r="15" spans="1:37" ht="12.75">
      <c r="A15" s="1" t="s">
        <v>9</v>
      </c>
      <c r="B15" s="1">
        <v>182710</v>
      </c>
      <c r="C15" s="1">
        <v>425035</v>
      </c>
      <c r="D15" s="1">
        <v>436558</v>
      </c>
      <c r="E15" s="1">
        <v>453911</v>
      </c>
      <c r="F15" s="1">
        <v>481939</v>
      </c>
      <c r="G15" s="1">
        <v>528427.6860040633</v>
      </c>
      <c r="H15" s="1">
        <v>603091.317593258</v>
      </c>
      <c r="I15" s="1">
        <v>694471.1582811156</v>
      </c>
      <c r="J15" s="1">
        <v>817135.9315755665</v>
      </c>
      <c r="K15" s="1">
        <v>896224.8065723846</v>
      </c>
      <c r="L15" s="244">
        <f t="shared" si="0"/>
        <v>9.678790509716325</v>
      </c>
      <c r="M15" s="250">
        <f>((K15-AC15)*100)/AC15</f>
        <v>401.3480454973258</v>
      </c>
      <c r="N15" s="14">
        <v>102620</v>
      </c>
      <c r="O15" s="14">
        <v>112113</v>
      </c>
      <c r="P15" s="14">
        <v>123102</v>
      </c>
      <c r="Q15" s="27">
        <v>133842</v>
      </c>
      <c r="R15" s="27">
        <v>143501</v>
      </c>
      <c r="S15" s="27">
        <v>152494</v>
      </c>
      <c r="T15" s="27">
        <v>160663</v>
      </c>
      <c r="U15" s="27">
        <v>167541</v>
      </c>
      <c r="V15" s="27">
        <v>171207</v>
      </c>
      <c r="W15" s="27">
        <v>173251</v>
      </c>
      <c r="X15" s="14">
        <v>170822</v>
      </c>
      <c r="Y15" s="14">
        <v>168805</v>
      </c>
      <c r="Z15" s="63">
        <v>170153</v>
      </c>
      <c r="AA15" s="63">
        <v>172346</v>
      </c>
      <c r="AB15" s="1">
        <v>174104</v>
      </c>
      <c r="AC15" s="1">
        <v>178763</v>
      </c>
      <c r="AD15" s="63"/>
      <c r="AE15" s="1">
        <v>453911</v>
      </c>
      <c r="AF15" s="3">
        <v>481939</v>
      </c>
      <c r="AG15" s="3">
        <v>528427.6860040633</v>
      </c>
      <c r="AH15" s="3">
        <v>603091.317593258</v>
      </c>
      <c r="AI15" s="3">
        <v>694471.1582811156</v>
      </c>
      <c r="AJ15" s="3">
        <v>817135.9315755665</v>
      </c>
      <c r="AK15" s="3">
        <v>896224.8065723846</v>
      </c>
    </row>
    <row r="16" spans="1:37" ht="12.75">
      <c r="A16" s="1" t="s">
        <v>10</v>
      </c>
      <c r="B16" s="1">
        <v>188173</v>
      </c>
      <c r="C16" s="1">
        <v>381782</v>
      </c>
      <c r="D16" s="1">
        <v>394392</v>
      </c>
      <c r="E16" s="1">
        <v>417476</v>
      </c>
      <c r="F16" s="1">
        <v>456891</v>
      </c>
      <c r="G16" s="1">
        <v>490609.1493097819</v>
      </c>
      <c r="H16" s="1">
        <v>559279.0305173483</v>
      </c>
      <c r="I16" s="1">
        <v>675545.1781940303</v>
      </c>
      <c r="J16" s="1">
        <v>761978.3499985252</v>
      </c>
      <c r="K16" s="1">
        <v>837325.1309136195</v>
      </c>
      <c r="L16" s="244">
        <f t="shared" si="0"/>
        <v>9.888309938890014</v>
      </c>
      <c r="M16" s="250">
        <f>((K16-AC16)*100)/AC16</f>
        <v>321.05203575974633</v>
      </c>
      <c r="N16" s="14">
        <v>159084</v>
      </c>
      <c r="O16" s="14">
        <v>161011</v>
      </c>
      <c r="P16" s="14">
        <v>161999</v>
      </c>
      <c r="Q16" s="27">
        <v>162178</v>
      </c>
      <c r="R16" s="27">
        <v>166779</v>
      </c>
      <c r="S16" s="27">
        <v>173242</v>
      </c>
      <c r="T16" s="27">
        <v>158855</v>
      </c>
      <c r="U16" s="27">
        <v>179907</v>
      </c>
      <c r="V16" s="27">
        <v>189369</v>
      </c>
      <c r="W16" s="27">
        <v>197378</v>
      </c>
      <c r="X16" s="14">
        <v>202480</v>
      </c>
      <c r="Y16" s="14">
        <v>198607</v>
      </c>
      <c r="Z16" s="63">
        <v>199769</v>
      </c>
      <c r="AA16" s="63">
        <v>199751</v>
      </c>
      <c r="AB16" s="1">
        <v>198906</v>
      </c>
      <c r="AC16" s="1">
        <v>198865</v>
      </c>
      <c r="AD16" s="63"/>
      <c r="AE16" s="1">
        <v>417476</v>
      </c>
      <c r="AF16" s="3">
        <v>456891</v>
      </c>
      <c r="AG16" s="3">
        <v>490609.1493097819</v>
      </c>
      <c r="AH16" s="3">
        <v>559279.0305173483</v>
      </c>
      <c r="AI16" s="3">
        <v>675545.1781940303</v>
      </c>
      <c r="AJ16" s="3">
        <v>761978.3499985252</v>
      </c>
      <c r="AK16" s="3">
        <v>837325.1309136195</v>
      </c>
    </row>
    <row r="17" spans="12:31" ht="12.75">
      <c r="L17" s="244"/>
      <c r="M17" s="250"/>
      <c r="N17" s="14"/>
      <c r="P17" s="14"/>
      <c r="Q17" s="27"/>
      <c r="R17" s="27"/>
      <c r="S17" s="27"/>
      <c r="T17" s="27"/>
      <c r="U17" s="27"/>
      <c r="V17" s="27"/>
      <c r="W17" s="27"/>
      <c r="X17" s="14"/>
      <c r="Y17" s="14"/>
      <c r="Z17" s="63"/>
      <c r="AA17" s="63"/>
      <c r="AD17" s="63"/>
      <c r="AE17" s="1"/>
    </row>
    <row r="18" spans="1:37" ht="12.75">
      <c r="A18" s="1" t="s">
        <v>11</v>
      </c>
      <c r="B18" s="1">
        <v>102242</v>
      </c>
      <c r="C18" s="1">
        <v>242513</v>
      </c>
      <c r="D18" s="1">
        <v>255945</v>
      </c>
      <c r="E18" s="1">
        <v>274793</v>
      </c>
      <c r="F18" s="1">
        <v>301338</v>
      </c>
      <c r="G18" s="1">
        <v>319573.23542164447</v>
      </c>
      <c r="H18" s="1">
        <v>384169.1876235575</v>
      </c>
      <c r="I18" s="1">
        <v>451949.2418342572</v>
      </c>
      <c r="J18" s="1">
        <v>536524.397083567</v>
      </c>
      <c r="K18" s="1">
        <v>609046.8303826385</v>
      </c>
      <c r="L18" s="244">
        <f t="shared" si="0"/>
        <v>13.51708024710304</v>
      </c>
      <c r="M18" s="250">
        <f>((K18-AC18)*100)/AC18</f>
        <v>533.6515188599711</v>
      </c>
      <c r="N18" s="14">
        <v>41826</v>
      </c>
      <c r="O18" s="14">
        <v>46847</v>
      </c>
      <c r="P18" s="14">
        <v>51461</v>
      </c>
      <c r="Q18" s="27">
        <v>55575</v>
      </c>
      <c r="R18" s="27">
        <v>59714</v>
      </c>
      <c r="S18" s="27">
        <v>66597</v>
      </c>
      <c r="T18" s="27">
        <v>67093</v>
      </c>
      <c r="U18" s="27">
        <v>72073</v>
      </c>
      <c r="V18" s="27">
        <v>76970</v>
      </c>
      <c r="W18" s="27">
        <v>81855</v>
      </c>
      <c r="X18" s="14">
        <v>82813</v>
      </c>
      <c r="Y18" s="14">
        <v>81840</v>
      </c>
      <c r="Z18" s="63">
        <v>85446</v>
      </c>
      <c r="AA18" s="63">
        <v>92008</v>
      </c>
      <c r="AB18" s="1">
        <v>91262</v>
      </c>
      <c r="AC18" s="1">
        <v>96117</v>
      </c>
      <c r="AD18" s="63"/>
      <c r="AE18" s="1">
        <v>274793</v>
      </c>
      <c r="AF18" s="3">
        <v>301338</v>
      </c>
      <c r="AG18" s="3">
        <v>319573.23542164447</v>
      </c>
      <c r="AH18" s="3">
        <v>384169.1876235575</v>
      </c>
      <c r="AI18" s="3">
        <v>451949.2418342572</v>
      </c>
      <c r="AJ18" s="3">
        <v>536524.397083567</v>
      </c>
      <c r="AK18" s="3">
        <v>609046.8303826385</v>
      </c>
    </row>
    <row r="19" spans="1:37" ht="12.75">
      <c r="A19" s="1" t="s">
        <v>12</v>
      </c>
      <c r="B19" s="1">
        <v>149217</v>
      </c>
      <c r="C19" s="1">
        <v>357624</v>
      </c>
      <c r="D19" s="1">
        <v>375543</v>
      </c>
      <c r="E19" s="1">
        <v>395405</v>
      </c>
      <c r="F19" s="1">
        <v>429087</v>
      </c>
      <c r="G19" s="1">
        <v>471534.06908474735</v>
      </c>
      <c r="H19" s="1">
        <v>555784.4356836203</v>
      </c>
      <c r="I19" s="1">
        <v>639603.370035216</v>
      </c>
      <c r="J19" s="1">
        <v>726314.9244799343</v>
      </c>
      <c r="K19" s="1">
        <v>799681.2711511664</v>
      </c>
      <c r="L19" s="244">
        <f t="shared" si="0"/>
        <v>10.101175701953927</v>
      </c>
      <c r="M19" s="250">
        <f>((K19-AC19)*100)/AC19</f>
        <v>456.5361796318204</v>
      </c>
      <c r="N19" s="14">
        <v>65503</v>
      </c>
      <c r="O19" s="14">
        <v>69778</v>
      </c>
      <c r="P19" s="14">
        <v>74589</v>
      </c>
      <c r="Q19" s="27">
        <v>79851</v>
      </c>
      <c r="R19" s="27">
        <v>85799</v>
      </c>
      <c r="S19" s="27">
        <v>95360</v>
      </c>
      <c r="T19" s="27">
        <v>102250</v>
      </c>
      <c r="U19" s="27">
        <v>109818</v>
      </c>
      <c r="V19" s="27">
        <v>118096</v>
      </c>
      <c r="W19" s="27">
        <v>126491</v>
      </c>
      <c r="X19" s="14">
        <v>131490</v>
      </c>
      <c r="Y19" s="14">
        <v>131844</v>
      </c>
      <c r="Z19" s="63">
        <v>133362</v>
      </c>
      <c r="AA19" s="63">
        <v>134041</v>
      </c>
      <c r="AB19" s="1">
        <v>136943</v>
      </c>
      <c r="AC19" s="1">
        <v>143689</v>
      </c>
      <c r="AD19" s="63"/>
      <c r="AE19" s="1">
        <v>395405</v>
      </c>
      <c r="AF19" s="3">
        <v>429087</v>
      </c>
      <c r="AG19" s="3">
        <v>471534.06908474735</v>
      </c>
      <c r="AH19" s="3">
        <v>555784.4356836203</v>
      </c>
      <c r="AI19" s="3">
        <v>639603.370035216</v>
      </c>
      <c r="AJ19" s="3">
        <v>726314.9244799343</v>
      </c>
      <c r="AK19" s="3">
        <v>799681.2711511664</v>
      </c>
    </row>
    <row r="20" spans="1:37" ht="12.75">
      <c r="A20" s="1" t="s">
        <v>13</v>
      </c>
      <c r="B20" s="1">
        <v>134431</v>
      </c>
      <c r="C20" s="1">
        <v>322445</v>
      </c>
      <c r="D20" s="1">
        <v>336900</v>
      </c>
      <c r="E20" s="1">
        <v>360178</v>
      </c>
      <c r="F20" s="1">
        <v>396607</v>
      </c>
      <c r="G20" s="1">
        <v>426204.1877479953</v>
      </c>
      <c r="H20" s="1">
        <v>497980.54793826654</v>
      </c>
      <c r="I20" s="1">
        <v>576673.8481089977</v>
      </c>
      <c r="J20" s="1">
        <v>663939.6283848056</v>
      </c>
      <c r="K20" s="1">
        <v>715671.359099053</v>
      </c>
      <c r="L20" s="244">
        <f t="shared" si="0"/>
        <v>7.791631724121864</v>
      </c>
      <c r="M20" s="250">
        <f>((K20-AC20)*100)/AC20</f>
        <v>443.3731628810886</v>
      </c>
      <c r="N20" s="14">
        <v>51112</v>
      </c>
      <c r="O20" s="14">
        <v>55019</v>
      </c>
      <c r="P20" s="14">
        <v>60912</v>
      </c>
      <c r="Q20" s="27">
        <v>66553</v>
      </c>
      <c r="R20" s="27">
        <v>73393</v>
      </c>
      <c r="S20" s="27">
        <v>81723</v>
      </c>
      <c r="T20" s="27">
        <v>89459</v>
      </c>
      <c r="U20" s="27">
        <v>99126</v>
      </c>
      <c r="V20" s="27">
        <v>109950</v>
      </c>
      <c r="W20" s="27">
        <v>116789</v>
      </c>
      <c r="X20" s="14">
        <v>121651</v>
      </c>
      <c r="Y20" s="14">
        <v>123019</v>
      </c>
      <c r="Z20" s="63">
        <v>124799</v>
      </c>
      <c r="AA20" s="63">
        <v>125130</v>
      </c>
      <c r="AB20" s="1">
        <v>127526</v>
      </c>
      <c r="AC20" s="1">
        <v>131709</v>
      </c>
      <c r="AD20" s="63"/>
      <c r="AE20" s="1">
        <v>360178</v>
      </c>
      <c r="AF20" s="3">
        <v>396607</v>
      </c>
      <c r="AG20" s="3">
        <v>426204.1877479953</v>
      </c>
      <c r="AH20" s="3">
        <v>497980.54793826654</v>
      </c>
      <c r="AI20" s="3">
        <v>576673.8481089977</v>
      </c>
      <c r="AJ20" s="3">
        <v>663939.6283848056</v>
      </c>
      <c r="AK20" s="3">
        <v>715671.359099053</v>
      </c>
    </row>
    <row r="21" spans="1:37" ht="12.75">
      <c r="A21" s="1" t="s">
        <v>14</v>
      </c>
      <c r="B21" s="1">
        <v>150151</v>
      </c>
      <c r="C21" s="1">
        <v>354652</v>
      </c>
      <c r="D21" s="1">
        <v>364107</v>
      </c>
      <c r="E21" s="1">
        <v>376883</v>
      </c>
      <c r="F21" s="1">
        <v>401853</v>
      </c>
      <c r="G21" s="1">
        <v>432822.6534531202</v>
      </c>
      <c r="H21" s="1">
        <v>505329.4045663248</v>
      </c>
      <c r="I21" s="1">
        <v>608993.9153088172</v>
      </c>
      <c r="J21" s="1">
        <v>719197.237189595</v>
      </c>
      <c r="K21" s="1">
        <v>768847.5860868893</v>
      </c>
      <c r="L21" s="244">
        <f t="shared" si="0"/>
        <v>6.90357892520733</v>
      </c>
      <c r="M21" s="250">
        <f>((K21-AC21)*100)/AC21</f>
        <v>403.72303898035767</v>
      </c>
      <c r="N21" s="14">
        <v>69659</v>
      </c>
      <c r="O21" s="14">
        <v>77462</v>
      </c>
      <c r="P21" s="14">
        <v>84110</v>
      </c>
      <c r="Q21" s="27">
        <v>91737</v>
      </c>
      <c r="R21" s="27">
        <v>97060</v>
      </c>
      <c r="S21" s="27">
        <v>105428</v>
      </c>
      <c r="T21" s="27">
        <v>105428</v>
      </c>
      <c r="U21" s="27">
        <v>155512</v>
      </c>
      <c r="V21" s="27">
        <v>123662</v>
      </c>
      <c r="W21" s="27">
        <v>133687</v>
      </c>
      <c r="X21" s="14">
        <v>139734</v>
      </c>
      <c r="Y21" s="14">
        <v>143036</v>
      </c>
      <c r="Z21" s="63">
        <v>153526</v>
      </c>
      <c r="AA21" s="63">
        <v>148911</v>
      </c>
      <c r="AB21" s="1">
        <v>149690</v>
      </c>
      <c r="AC21" s="1">
        <v>152633</v>
      </c>
      <c r="AD21" s="63"/>
      <c r="AE21" s="1">
        <v>376883</v>
      </c>
      <c r="AF21" s="3">
        <v>401853</v>
      </c>
      <c r="AG21" s="3">
        <v>432822.6534531202</v>
      </c>
      <c r="AH21" s="3">
        <v>505329.4045663248</v>
      </c>
      <c r="AI21" s="3">
        <v>608993.9153088172</v>
      </c>
      <c r="AJ21" s="3">
        <v>719197.237189595</v>
      </c>
      <c r="AK21" s="3">
        <v>768847.5860868893</v>
      </c>
    </row>
    <row r="22" spans="1:37" ht="12.75">
      <c r="A22" s="1" t="s">
        <v>15</v>
      </c>
      <c r="B22" s="1">
        <v>149452</v>
      </c>
      <c r="C22" s="1">
        <v>338811</v>
      </c>
      <c r="D22" s="1">
        <v>361285</v>
      </c>
      <c r="E22" s="1">
        <v>397908</v>
      </c>
      <c r="F22" s="1">
        <v>420151</v>
      </c>
      <c r="G22" s="1">
        <v>500326.3937271944</v>
      </c>
      <c r="H22" s="1">
        <v>566869.0088303349</v>
      </c>
      <c r="I22" s="1">
        <v>628776.9464240052</v>
      </c>
      <c r="J22" s="1">
        <v>729670.5577172503</v>
      </c>
      <c r="K22" s="1">
        <v>816221.6566404442</v>
      </c>
      <c r="L22" s="244">
        <f t="shared" si="0"/>
        <v>11.861667982598346</v>
      </c>
      <c r="M22" s="250">
        <f>((K22-AC22)*100)/AC22</f>
        <v>471.0599216688082</v>
      </c>
      <c r="N22" s="14">
        <v>63225</v>
      </c>
      <c r="O22" s="14">
        <v>70565</v>
      </c>
      <c r="P22" s="14">
        <v>77388</v>
      </c>
      <c r="Q22" s="27">
        <v>82289</v>
      </c>
      <c r="R22" s="27">
        <v>88009</v>
      </c>
      <c r="S22" s="27">
        <v>95378</v>
      </c>
      <c r="T22" s="27">
        <v>103250</v>
      </c>
      <c r="U22" s="27">
        <v>111347</v>
      </c>
      <c r="V22" s="27">
        <v>118404</v>
      </c>
      <c r="W22" s="27">
        <v>124186</v>
      </c>
      <c r="X22" s="14">
        <v>127055</v>
      </c>
      <c r="Y22" s="14">
        <v>129009</v>
      </c>
      <c r="Z22" s="63">
        <v>132314</v>
      </c>
      <c r="AA22" s="63">
        <v>135969</v>
      </c>
      <c r="AB22" s="1">
        <v>139370</v>
      </c>
      <c r="AC22" s="1">
        <v>142931</v>
      </c>
      <c r="AD22" s="63"/>
      <c r="AE22" s="1">
        <v>397908</v>
      </c>
      <c r="AF22" s="3">
        <v>420151</v>
      </c>
      <c r="AG22" s="3">
        <v>500326.3937271944</v>
      </c>
      <c r="AH22" s="3">
        <v>566869.0088303349</v>
      </c>
      <c r="AI22" s="3">
        <v>628776.9464240052</v>
      </c>
      <c r="AJ22" s="3">
        <v>729670.5577172503</v>
      </c>
      <c r="AK22" s="3">
        <v>816221.6566404442</v>
      </c>
    </row>
    <row r="23" spans="12:31" ht="12.75">
      <c r="L23" s="244"/>
      <c r="M23" s="250"/>
      <c r="N23" s="14"/>
      <c r="P23" s="14"/>
      <c r="Q23" s="27"/>
      <c r="R23" s="27"/>
      <c r="S23" s="27"/>
      <c r="T23" s="27"/>
      <c r="U23" s="27"/>
      <c r="V23" s="27"/>
      <c r="W23" s="27"/>
      <c r="X23" s="14"/>
      <c r="Y23" s="14"/>
      <c r="Z23" s="63"/>
      <c r="AA23" s="63"/>
      <c r="AD23" s="63"/>
      <c r="AE23" s="1"/>
    </row>
    <row r="24" spans="1:37" ht="12.75">
      <c r="A24" s="1" t="s">
        <v>16</v>
      </c>
      <c r="B24" s="1">
        <v>147276</v>
      </c>
      <c r="C24" s="1">
        <v>359990</v>
      </c>
      <c r="D24" s="1">
        <v>380179</v>
      </c>
      <c r="E24" s="1">
        <v>400655</v>
      </c>
      <c r="F24" s="1">
        <v>427971</v>
      </c>
      <c r="G24" s="1">
        <v>477003.91635306197</v>
      </c>
      <c r="H24" s="1">
        <v>563411.5288982197</v>
      </c>
      <c r="I24" s="1">
        <v>666450.4340652642</v>
      </c>
      <c r="J24" s="1">
        <v>765052.2801985099</v>
      </c>
      <c r="K24" s="1">
        <v>817860.5745862008</v>
      </c>
      <c r="L24" s="244">
        <f t="shared" si="0"/>
        <v>6.902573295250952</v>
      </c>
      <c r="M24" s="250">
        <f>((K24-AC24)*100)/AC24</f>
        <v>460.6623350194008</v>
      </c>
      <c r="N24" s="14">
        <v>64144</v>
      </c>
      <c r="O24" s="14">
        <v>63343</v>
      </c>
      <c r="P24" s="14">
        <v>73929</v>
      </c>
      <c r="Q24" s="27">
        <v>79206</v>
      </c>
      <c r="R24" s="27">
        <v>87683</v>
      </c>
      <c r="S24" s="27">
        <v>96798</v>
      </c>
      <c r="T24" s="27">
        <v>106704</v>
      </c>
      <c r="U24" s="27">
        <v>113098</v>
      </c>
      <c r="V24" s="27">
        <v>121659</v>
      </c>
      <c r="W24" s="27">
        <v>130388</v>
      </c>
      <c r="X24" s="14">
        <v>134000</v>
      </c>
      <c r="Y24" s="14">
        <v>133801</v>
      </c>
      <c r="Z24" s="63">
        <v>136811</v>
      </c>
      <c r="AA24" s="63">
        <v>137788</v>
      </c>
      <c r="AB24" s="1">
        <v>140094</v>
      </c>
      <c r="AC24" s="1">
        <v>145874</v>
      </c>
      <c r="AD24" s="63"/>
      <c r="AE24" s="1">
        <v>400655</v>
      </c>
      <c r="AF24" s="3">
        <v>427971</v>
      </c>
      <c r="AG24" s="3">
        <v>477003.91635306197</v>
      </c>
      <c r="AH24" s="3">
        <v>563411.5288982197</v>
      </c>
      <c r="AI24" s="3">
        <v>666450.4340652642</v>
      </c>
      <c r="AJ24" s="3">
        <v>765052.2801985099</v>
      </c>
      <c r="AK24" s="3">
        <v>817860.5745862008</v>
      </c>
    </row>
    <row r="25" spans="1:37" ht="12.75">
      <c r="A25" s="1" t="s">
        <v>17</v>
      </c>
      <c r="B25" s="1">
        <v>175220</v>
      </c>
      <c r="C25" s="1">
        <v>404809</v>
      </c>
      <c r="D25" s="1">
        <v>448014</v>
      </c>
      <c r="E25" s="1">
        <v>484242</v>
      </c>
      <c r="F25" s="1">
        <v>531661</v>
      </c>
      <c r="G25" s="1">
        <v>603384.2086029365</v>
      </c>
      <c r="H25" s="1">
        <v>735161.8810909805</v>
      </c>
      <c r="I25" s="1">
        <v>860077.2037556178</v>
      </c>
      <c r="J25" s="1">
        <v>991255.930371466</v>
      </c>
      <c r="K25" s="1">
        <v>1093000.990502826</v>
      </c>
      <c r="L25" s="244">
        <f t="shared" si="0"/>
        <v>10.264257394478511</v>
      </c>
      <c r="M25" s="250">
        <f>((K25-AC25)*100)/AC25</f>
        <v>572.6656679279861</v>
      </c>
      <c r="N25" s="14">
        <v>56788</v>
      </c>
      <c r="O25" s="14">
        <v>67087</v>
      </c>
      <c r="P25" s="14">
        <v>73505</v>
      </c>
      <c r="Q25" s="27">
        <v>76864</v>
      </c>
      <c r="R25" s="27">
        <v>85894</v>
      </c>
      <c r="S25" s="27">
        <v>95345</v>
      </c>
      <c r="T25" s="27">
        <v>101601</v>
      </c>
      <c r="U25" s="27">
        <v>111272</v>
      </c>
      <c r="V25" s="27">
        <v>121823</v>
      </c>
      <c r="W25" s="27">
        <v>131345</v>
      </c>
      <c r="X25" s="14">
        <v>132120</v>
      </c>
      <c r="Y25" s="14">
        <v>137219</v>
      </c>
      <c r="Z25" s="63">
        <v>145919</v>
      </c>
      <c r="AA25" s="63">
        <v>150069</v>
      </c>
      <c r="AB25" s="1">
        <v>154687</v>
      </c>
      <c r="AC25" s="1">
        <v>162488</v>
      </c>
      <c r="AD25" s="63"/>
      <c r="AE25" s="1">
        <v>484242</v>
      </c>
      <c r="AF25" s="3">
        <v>531661</v>
      </c>
      <c r="AG25" s="3">
        <v>603384.2086029365</v>
      </c>
      <c r="AH25" s="3">
        <v>735161.8810909805</v>
      </c>
      <c r="AI25" s="3">
        <v>860077.2037556178</v>
      </c>
      <c r="AJ25" s="3">
        <v>991255.930371466</v>
      </c>
      <c r="AK25" s="3">
        <v>1093000.990502826</v>
      </c>
    </row>
    <row r="26" spans="1:37" ht="12.75">
      <c r="A26" s="1" t="s">
        <v>18</v>
      </c>
      <c r="B26" s="1">
        <v>145395</v>
      </c>
      <c r="C26" s="1">
        <v>339433</v>
      </c>
      <c r="D26" s="1">
        <v>339660</v>
      </c>
      <c r="E26" s="1">
        <v>360494</v>
      </c>
      <c r="F26" s="1">
        <v>401489</v>
      </c>
      <c r="G26" s="1">
        <v>431993.36209214036</v>
      </c>
      <c r="H26" s="1">
        <v>512221.6472599713</v>
      </c>
      <c r="I26" s="1">
        <v>589969.7494960389</v>
      </c>
      <c r="J26" s="1">
        <v>685741.6763320162</v>
      </c>
      <c r="K26" s="1">
        <v>755331.1609447899</v>
      </c>
      <c r="L26" s="244">
        <f t="shared" si="0"/>
        <v>10.148061145270166</v>
      </c>
      <c r="M26" s="250">
        <f>((K26-AC26)*100)/AC26</f>
        <v>436.11410387166575</v>
      </c>
      <c r="N26" s="14">
        <v>59474</v>
      </c>
      <c r="O26" s="14">
        <v>63408</v>
      </c>
      <c r="P26" s="14">
        <v>67963</v>
      </c>
      <c r="Q26" s="27">
        <v>73694</v>
      </c>
      <c r="R26" s="27">
        <v>81044</v>
      </c>
      <c r="S26" s="27">
        <v>87462</v>
      </c>
      <c r="T26" s="27">
        <v>93603</v>
      </c>
      <c r="U26" s="27">
        <v>101153</v>
      </c>
      <c r="V26" s="27">
        <v>109309</v>
      </c>
      <c r="W26" s="27">
        <v>114947</v>
      </c>
      <c r="X26" s="14">
        <v>120357</v>
      </c>
      <c r="Y26" s="14">
        <v>124371</v>
      </c>
      <c r="Z26" s="63">
        <v>127371</v>
      </c>
      <c r="AA26" s="63">
        <v>132072</v>
      </c>
      <c r="AB26" s="1">
        <v>135049</v>
      </c>
      <c r="AC26" s="1">
        <v>140890</v>
      </c>
      <c r="AD26" s="63"/>
      <c r="AE26" s="1">
        <v>360494</v>
      </c>
      <c r="AF26" s="3">
        <v>401489</v>
      </c>
      <c r="AG26" s="3">
        <v>431993.36209214036</v>
      </c>
      <c r="AH26" s="3">
        <v>512221.6472599713</v>
      </c>
      <c r="AI26" s="3">
        <v>589969.7494960389</v>
      </c>
      <c r="AJ26" s="3">
        <v>685741.6763320162</v>
      </c>
      <c r="AK26" s="3">
        <v>755331.1609447899</v>
      </c>
    </row>
    <row r="27" spans="1:37" ht="12.75">
      <c r="A27" s="1" t="s">
        <v>19</v>
      </c>
      <c r="B27" s="1">
        <v>199940</v>
      </c>
      <c r="C27" s="1">
        <v>490378</v>
      </c>
      <c r="D27" s="1">
        <v>476835</v>
      </c>
      <c r="E27" s="1">
        <v>525874</v>
      </c>
      <c r="F27" s="1">
        <v>578390</v>
      </c>
      <c r="G27" s="1">
        <v>639163.4841183258</v>
      </c>
      <c r="H27" s="1">
        <v>743076.6951461113</v>
      </c>
      <c r="I27" s="1">
        <v>846305.542531377</v>
      </c>
      <c r="J27" s="1">
        <v>982146.6284118947</v>
      </c>
      <c r="K27" s="1">
        <v>1024930.9831105468</v>
      </c>
      <c r="L27" s="244">
        <f t="shared" si="0"/>
        <v>4.356208478547989</v>
      </c>
      <c r="M27" s="250">
        <f>((K27-AC27)*100)/AC27</f>
        <v>421.8217556337872</v>
      </c>
      <c r="N27" s="14">
        <v>100277</v>
      </c>
      <c r="O27" s="14">
        <v>109153</v>
      </c>
      <c r="P27" s="14">
        <v>121071</v>
      </c>
      <c r="Q27" s="27">
        <v>132231</v>
      </c>
      <c r="R27" s="27">
        <v>148938</v>
      </c>
      <c r="S27" s="27">
        <v>160867</v>
      </c>
      <c r="T27" s="27">
        <v>170106</v>
      </c>
      <c r="U27" s="27">
        <v>176262</v>
      </c>
      <c r="V27" s="27">
        <v>186416</v>
      </c>
      <c r="W27" s="27">
        <v>189529</v>
      </c>
      <c r="X27" s="14">
        <v>187446</v>
      </c>
      <c r="Y27" s="14">
        <v>191455</v>
      </c>
      <c r="Z27" s="63">
        <v>189581</v>
      </c>
      <c r="AA27" s="63">
        <v>191282</v>
      </c>
      <c r="AB27" s="1">
        <v>192534</v>
      </c>
      <c r="AC27" s="1">
        <v>196414</v>
      </c>
      <c r="AD27" s="63"/>
      <c r="AE27" s="1">
        <v>525874</v>
      </c>
      <c r="AF27" s="3">
        <v>578390</v>
      </c>
      <c r="AG27" s="3">
        <v>639163.4841183258</v>
      </c>
      <c r="AH27" s="3">
        <v>743076.6951461113</v>
      </c>
      <c r="AI27" s="3">
        <v>846305.542531377</v>
      </c>
      <c r="AJ27" s="3">
        <v>982146.6284118947</v>
      </c>
      <c r="AK27" s="3">
        <v>1024930.9831105468</v>
      </c>
    </row>
    <row r="28" spans="1:37" ht="12.75">
      <c r="A28" s="1" t="s">
        <v>20</v>
      </c>
      <c r="B28" s="1">
        <v>216238</v>
      </c>
      <c r="C28" s="1">
        <v>533806</v>
      </c>
      <c r="D28" s="1">
        <v>573201</v>
      </c>
      <c r="E28" s="1">
        <v>629455</v>
      </c>
      <c r="F28" s="1">
        <v>699642</v>
      </c>
      <c r="G28" s="1">
        <v>783497.6204961697</v>
      </c>
      <c r="H28" s="1">
        <v>956566.5698219684</v>
      </c>
      <c r="I28" s="1">
        <v>1143657.846219145</v>
      </c>
      <c r="J28" s="1">
        <v>1355658.9219330854</v>
      </c>
      <c r="K28" s="1">
        <v>1546887.5540605478</v>
      </c>
      <c r="L28" s="244">
        <f t="shared" si="0"/>
        <v>14.105954605070002</v>
      </c>
      <c r="M28" s="250">
        <f>((K28-AC28)*100)/AC28</f>
        <v>662.6560077999437</v>
      </c>
      <c r="N28" s="14">
        <v>85667</v>
      </c>
      <c r="O28" s="14">
        <v>94835</v>
      </c>
      <c r="P28" s="27">
        <v>103598</v>
      </c>
      <c r="Q28" s="27">
        <v>114817</v>
      </c>
      <c r="R28" s="27">
        <v>124403</v>
      </c>
      <c r="S28" s="27">
        <v>133857</v>
      </c>
      <c r="T28" s="27">
        <v>139365</v>
      </c>
      <c r="U28" s="27">
        <v>159711</v>
      </c>
      <c r="V28" s="27">
        <v>179413</v>
      </c>
      <c r="W28" s="27">
        <v>184405</v>
      </c>
      <c r="X28" s="14">
        <v>187385</v>
      </c>
      <c r="Y28" s="14">
        <v>189469</v>
      </c>
      <c r="Z28" s="63">
        <v>190395</v>
      </c>
      <c r="AA28" s="63">
        <v>196758</v>
      </c>
      <c r="AB28" s="1">
        <v>201560</v>
      </c>
      <c r="AC28" s="1">
        <v>202829</v>
      </c>
      <c r="AD28" s="63"/>
      <c r="AE28" s="1">
        <v>629455</v>
      </c>
      <c r="AF28" s="3">
        <v>699642</v>
      </c>
      <c r="AG28" s="3">
        <v>783497.6204961697</v>
      </c>
      <c r="AH28" s="3">
        <v>956566.5698219684</v>
      </c>
      <c r="AI28" s="3">
        <v>1143657.846219145</v>
      </c>
      <c r="AJ28" s="3">
        <v>1355658.9219330854</v>
      </c>
      <c r="AK28" s="3">
        <v>1546887.5540605478</v>
      </c>
    </row>
    <row r="29" spans="12:31" ht="12.75">
      <c r="L29" s="244"/>
      <c r="M29" s="250"/>
      <c r="N29" s="14"/>
      <c r="O29" s="14"/>
      <c r="Q29" s="27"/>
      <c r="R29" s="27"/>
      <c r="S29" s="27"/>
      <c r="T29" s="27"/>
      <c r="U29" s="27"/>
      <c r="V29" s="27"/>
      <c r="W29" s="27"/>
      <c r="X29" s="14"/>
      <c r="Y29" s="14"/>
      <c r="Z29" s="63"/>
      <c r="AA29" s="63"/>
      <c r="AD29" s="63"/>
      <c r="AE29" s="1"/>
    </row>
    <row r="30" spans="1:37" ht="12.75">
      <c r="A30" s="1" t="s">
        <v>21</v>
      </c>
      <c r="B30" s="1">
        <v>261279</v>
      </c>
      <c r="C30" s="1">
        <v>619261</v>
      </c>
      <c r="D30" s="1">
        <v>644526</v>
      </c>
      <c r="E30" s="1">
        <v>703431</v>
      </c>
      <c r="F30" s="1">
        <v>782598</v>
      </c>
      <c r="G30" s="1">
        <v>911522.2796301213</v>
      </c>
      <c r="H30" s="1">
        <v>1080321.6608957034</v>
      </c>
      <c r="I30" s="1">
        <v>1232724.234349471</v>
      </c>
      <c r="J30" s="1">
        <v>1389548.8668436806</v>
      </c>
      <c r="K30" s="1">
        <v>1380190.9759505773</v>
      </c>
      <c r="L30" s="244">
        <f t="shared" si="0"/>
        <v>-0.6734481324402427</v>
      </c>
      <c r="M30" s="250">
        <f>((K30-AC30)*100)/AC30</f>
        <v>431.517301170939</v>
      </c>
      <c r="N30" s="14">
        <v>145555</v>
      </c>
      <c r="O30" s="14">
        <v>159133</v>
      </c>
      <c r="P30" s="27">
        <v>173969</v>
      </c>
      <c r="Q30" s="27">
        <v>190371</v>
      </c>
      <c r="R30" s="27">
        <v>207315</v>
      </c>
      <c r="S30" s="27">
        <v>223936</v>
      </c>
      <c r="T30" s="27">
        <v>238728</v>
      </c>
      <c r="U30" s="27">
        <v>250872</v>
      </c>
      <c r="V30" s="27">
        <v>271433</v>
      </c>
      <c r="W30" s="27">
        <v>272435</v>
      </c>
      <c r="X30" s="14">
        <v>264622</v>
      </c>
      <c r="Y30" s="14">
        <v>256195</v>
      </c>
      <c r="Z30" s="63">
        <v>259934</v>
      </c>
      <c r="AA30" s="63">
        <v>260556</v>
      </c>
      <c r="AB30" s="1">
        <v>258875</v>
      </c>
      <c r="AC30" s="1">
        <v>259670</v>
      </c>
      <c r="AD30" s="63"/>
      <c r="AE30" s="1">
        <v>703431</v>
      </c>
      <c r="AF30" s="3">
        <v>782598</v>
      </c>
      <c r="AG30" s="3">
        <v>911522.2796301213</v>
      </c>
      <c r="AH30" s="3">
        <v>1080321.6608957034</v>
      </c>
      <c r="AI30" s="3">
        <v>1232724.234349471</v>
      </c>
      <c r="AJ30" s="3">
        <v>1389548.8668436806</v>
      </c>
      <c r="AK30" s="3">
        <v>1380190.9759505773</v>
      </c>
    </row>
    <row r="31" spans="1:37" ht="12.75">
      <c r="A31" s="1" t="s">
        <v>22</v>
      </c>
      <c r="B31" s="1">
        <v>136457</v>
      </c>
      <c r="C31" s="1">
        <v>315294</v>
      </c>
      <c r="D31" s="1">
        <v>325339</v>
      </c>
      <c r="E31" s="1">
        <v>339467</v>
      </c>
      <c r="F31" s="1">
        <v>369784</v>
      </c>
      <c r="G31" s="1">
        <v>406235.49554931663</v>
      </c>
      <c r="H31" s="1">
        <v>478266.75195908075</v>
      </c>
      <c r="I31" s="1">
        <v>578434.8616412067</v>
      </c>
      <c r="J31" s="1">
        <v>723034.6513540372</v>
      </c>
      <c r="K31" s="1">
        <v>813557.0015284889</v>
      </c>
      <c r="L31" s="244">
        <f t="shared" si="0"/>
        <v>12.519780345925223</v>
      </c>
      <c r="M31" s="250">
        <f>((K31-AC31)*100)/AC31</f>
        <v>481.3654531820929</v>
      </c>
      <c r="N31" s="14">
        <v>75189</v>
      </c>
      <c r="O31" s="14">
        <v>83495</v>
      </c>
      <c r="P31" s="27">
        <v>91759</v>
      </c>
      <c r="Q31" s="27">
        <v>99523</v>
      </c>
      <c r="R31" s="27">
        <v>107585</v>
      </c>
      <c r="S31" s="27">
        <v>115499</v>
      </c>
      <c r="T31" s="27">
        <v>123236</v>
      </c>
      <c r="U31" s="27">
        <v>129483</v>
      </c>
      <c r="V31" s="27">
        <v>138622</v>
      </c>
      <c r="W31" s="27">
        <v>141404</v>
      </c>
      <c r="X31" s="14">
        <v>143195</v>
      </c>
      <c r="Y31" s="14">
        <v>141698</v>
      </c>
      <c r="Z31" s="63">
        <v>140110</v>
      </c>
      <c r="AA31" s="63">
        <v>138011</v>
      </c>
      <c r="AB31" s="1">
        <v>138644</v>
      </c>
      <c r="AC31" s="1">
        <v>139939</v>
      </c>
      <c r="AD31" s="63"/>
      <c r="AE31" s="1">
        <v>339467</v>
      </c>
      <c r="AF31" s="3">
        <v>369784</v>
      </c>
      <c r="AG31" s="3">
        <v>406235.49554931663</v>
      </c>
      <c r="AH31" s="3">
        <v>478266.75195908075</v>
      </c>
      <c r="AI31" s="3">
        <v>578434.8616412067</v>
      </c>
      <c r="AJ31" s="3">
        <v>723034.6513540372</v>
      </c>
      <c r="AK31" s="3">
        <v>813557.0015284889</v>
      </c>
    </row>
    <row r="32" spans="1:37" ht="12.75">
      <c r="A32" s="1" t="s">
        <v>23</v>
      </c>
      <c r="B32" s="1">
        <v>189019</v>
      </c>
      <c r="C32" s="1">
        <v>484181</v>
      </c>
      <c r="D32" s="1">
        <v>506407</v>
      </c>
      <c r="E32" s="1">
        <v>560062</v>
      </c>
      <c r="F32" s="1">
        <v>623249</v>
      </c>
      <c r="G32" s="1">
        <v>685675.5157787444</v>
      </c>
      <c r="H32" s="1">
        <v>813105.7869404042</v>
      </c>
      <c r="I32" s="1">
        <v>965666.5442044769</v>
      </c>
      <c r="J32" s="1">
        <v>1130275.915299171</v>
      </c>
      <c r="K32" s="1">
        <v>1204023.9449266687</v>
      </c>
      <c r="L32" s="244">
        <f t="shared" si="0"/>
        <v>6.524781129037619</v>
      </c>
      <c r="M32" s="250">
        <f>((K32-AC32)*100)/AC32</f>
        <v>556.7558569166191</v>
      </c>
      <c r="N32" s="14">
        <v>83166</v>
      </c>
      <c r="O32" s="14">
        <v>92188</v>
      </c>
      <c r="P32" s="27">
        <v>99814</v>
      </c>
      <c r="Q32" s="27">
        <v>107027</v>
      </c>
      <c r="R32" s="27">
        <v>118579</v>
      </c>
      <c r="S32" s="27">
        <v>131855</v>
      </c>
      <c r="T32" s="27">
        <v>137774</v>
      </c>
      <c r="U32" s="27">
        <v>150570</v>
      </c>
      <c r="V32" s="27">
        <v>161983</v>
      </c>
      <c r="W32" s="27">
        <v>174238</v>
      </c>
      <c r="X32" s="14">
        <v>175514</v>
      </c>
      <c r="Y32" s="14">
        <v>174604</v>
      </c>
      <c r="Z32" s="63">
        <v>179416</v>
      </c>
      <c r="AA32" s="63">
        <v>180077</v>
      </c>
      <c r="AB32" s="1">
        <v>179879</v>
      </c>
      <c r="AC32" s="1">
        <v>183329</v>
      </c>
      <c r="AD32" s="63"/>
      <c r="AE32" s="1">
        <v>560062</v>
      </c>
      <c r="AF32" s="3">
        <v>623249</v>
      </c>
      <c r="AG32" s="3">
        <v>685675.5157787444</v>
      </c>
      <c r="AH32" s="3">
        <v>813105.7869404042</v>
      </c>
      <c r="AI32" s="3">
        <v>965666.5442044769</v>
      </c>
      <c r="AJ32" s="3">
        <v>1130275.915299171</v>
      </c>
      <c r="AK32" s="3">
        <v>1204023.9449266687</v>
      </c>
    </row>
    <row r="33" spans="1:37" ht="12.75">
      <c r="A33" s="1" t="s">
        <v>24</v>
      </c>
      <c r="B33" s="1">
        <v>150149</v>
      </c>
      <c r="C33" s="1">
        <v>360044</v>
      </c>
      <c r="D33" s="1">
        <v>364507</v>
      </c>
      <c r="E33" s="1">
        <v>375645</v>
      </c>
      <c r="F33" s="1">
        <v>405889</v>
      </c>
      <c r="G33" s="1">
        <v>426276.4872925976</v>
      </c>
      <c r="H33" s="1">
        <v>508100.71938736126</v>
      </c>
      <c r="I33" s="1">
        <v>597483.1141347272</v>
      </c>
      <c r="J33" s="1">
        <v>724109.2821144934</v>
      </c>
      <c r="K33" s="1">
        <v>805635.3909207521</v>
      </c>
      <c r="L33" s="244">
        <f t="shared" si="0"/>
        <v>11.258812836674567</v>
      </c>
      <c r="M33" s="250">
        <f>((K33-AC33)*100)/AC33</f>
        <v>452.67950724828466</v>
      </c>
      <c r="N33" s="14">
        <v>54885</v>
      </c>
      <c r="O33" s="14">
        <v>64815</v>
      </c>
      <c r="P33" s="27">
        <v>70481</v>
      </c>
      <c r="Q33" s="27">
        <v>75168</v>
      </c>
      <c r="R33" s="27">
        <v>81417</v>
      </c>
      <c r="S33" s="27">
        <v>90709</v>
      </c>
      <c r="T33" s="27">
        <v>94664</v>
      </c>
      <c r="U33" s="27">
        <v>103746</v>
      </c>
      <c r="V33" s="27">
        <v>115699</v>
      </c>
      <c r="W33" s="27">
        <v>127032</v>
      </c>
      <c r="X33" s="14">
        <v>129349</v>
      </c>
      <c r="Y33" s="14">
        <v>130848</v>
      </c>
      <c r="Z33" s="63">
        <v>134730</v>
      </c>
      <c r="AA33" s="63">
        <v>134037</v>
      </c>
      <c r="AB33" s="1">
        <v>140350</v>
      </c>
      <c r="AC33" s="1">
        <v>145769</v>
      </c>
      <c r="AD33" s="63"/>
      <c r="AE33" s="1">
        <v>375645</v>
      </c>
      <c r="AF33" s="3">
        <v>405889</v>
      </c>
      <c r="AG33" s="3">
        <v>426276.4872925976</v>
      </c>
      <c r="AH33" s="3">
        <v>508100.71938736126</v>
      </c>
      <c r="AI33" s="3">
        <v>597483.1141347272</v>
      </c>
      <c r="AJ33" s="3">
        <v>724109.2821144934</v>
      </c>
      <c r="AK33" s="3">
        <v>805635.3909207521</v>
      </c>
    </row>
    <row r="34" spans="1:37" ht="12.75">
      <c r="A34" s="1" t="s">
        <v>25</v>
      </c>
      <c r="B34" s="1">
        <v>113745</v>
      </c>
      <c r="C34" s="1">
        <v>256979</v>
      </c>
      <c r="D34" s="1">
        <v>269371</v>
      </c>
      <c r="E34" s="1">
        <v>283889</v>
      </c>
      <c r="F34" s="1">
        <v>299364</v>
      </c>
      <c r="G34" s="1">
        <v>344282.1023185755</v>
      </c>
      <c r="H34" s="1">
        <v>418291.8401701072</v>
      </c>
      <c r="I34" s="1">
        <v>503565.80924057384</v>
      </c>
      <c r="J34" s="1">
        <v>599052.1100917432</v>
      </c>
      <c r="K34" s="1">
        <v>647591.3780397937</v>
      </c>
      <c r="L34" s="244">
        <f t="shared" si="0"/>
        <v>8.102678737016195</v>
      </c>
      <c r="M34" s="250">
        <f>((K34-AC34)*100)/AC34</f>
        <v>490.7279094738417</v>
      </c>
      <c r="N34" s="14">
        <v>49962</v>
      </c>
      <c r="O34" s="14">
        <v>54545</v>
      </c>
      <c r="P34" s="27">
        <v>57503</v>
      </c>
      <c r="Q34" s="27">
        <v>61869</v>
      </c>
      <c r="R34" s="27">
        <v>67568</v>
      </c>
      <c r="S34" s="27">
        <v>70370</v>
      </c>
      <c r="T34" s="27">
        <v>72537</v>
      </c>
      <c r="U34" s="27">
        <v>72582</v>
      </c>
      <c r="V34" s="27">
        <v>76469</v>
      </c>
      <c r="W34" s="27">
        <v>80525</v>
      </c>
      <c r="X34" s="14">
        <v>83909</v>
      </c>
      <c r="Y34" s="14">
        <v>93214</v>
      </c>
      <c r="Z34" s="63">
        <v>97786</v>
      </c>
      <c r="AA34" s="63">
        <v>104192</v>
      </c>
      <c r="AB34" s="1">
        <v>106313</v>
      </c>
      <c r="AC34" s="1">
        <v>109626</v>
      </c>
      <c r="AD34" s="63"/>
      <c r="AE34" s="1">
        <v>283889</v>
      </c>
      <c r="AF34" s="3">
        <v>299364</v>
      </c>
      <c r="AG34" s="3">
        <v>344282.1023185755</v>
      </c>
      <c r="AH34" s="3">
        <v>418291.8401701072</v>
      </c>
      <c r="AI34" s="3">
        <v>503565.80924057384</v>
      </c>
      <c r="AJ34" s="3">
        <v>599052.1100917432</v>
      </c>
      <c r="AK34" s="3">
        <v>647591.3780397937</v>
      </c>
    </row>
    <row r="35" spans="12:31" ht="12.75">
      <c r="L35" s="244"/>
      <c r="M35" s="250"/>
      <c r="O35" s="14"/>
      <c r="P35" s="27"/>
      <c r="Q35" s="27"/>
      <c r="R35" s="27"/>
      <c r="S35" s="27"/>
      <c r="T35" s="27"/>
      <c r="U35" s="27"/>
      <c r="V35" s="27"/>
      <c r="W35" s="27"/>
      <c r="X35" s="14"/>
      <c r="Y35" s="36"/>
      <c r="Z35" s="63"/>
      <c r="AA35" s="63"/>
      <c r="AD35" s="63"/>
      <c r="AE35" s="1"/>
    </row>
    <row r="36" spans="1:37" ht="12.75">
      <c r="A36" s="1" t="s">
        <v>26</v>
      </c>
      <c r="B36" s="1">
        <v>314828</v>
      </c>
      <c r="C36" s="1">
        <v>853684</v>
      </c>
      <c r="D36" s="1">
        <v>928611</v>
      </c>
      <c r="E36" s="1">
        <v>1036326</v>
      </c>
      <c r="F36" s="1">
        <v>1167859</v>
      </c>
      <c r="G36" s="1">
        <v>1337203.551629747</v>
      </c>
      <c r="H36" s="1">
        <v>1571944.9425903067</v>
      </c>
      <c r="I36" s="1">
        <v>1839882.8211107631</v>
      </c>
      <c r="J36" s="1">
        <v>2163683.8000708967</v>
      </c>
      <c r="K36" s="1">
        <v>2381288.020191348</v>
      </c>
      <c r="L36" s="244">
        <f t="shared" si="0"/>
        <v>10.05711740843654</v>
      </c>
      <c r="M36" s="250">
        <f>((K36-AC36)*100)/AC36</f>
        <v>657.7951878001611</v>
      </c>
      <c r="N36" s="14">
        <v>140292</v>
      </c>
      <c r="O36" s="14">
        <v>156972</v>
      </c>
      <c r="P36" s="27">
        <v>170804</v>
      </c>
      <c r="Q36" s="27">
        <v>188025</v>
      </c>
      <c r="R36" s="27">
        <v>208515</v>
      </c>
      <c r="S36" s="27">
        <v>226115</v>
      </c>
      <c r="T36" s="27">
        <v>238038</v>
      </c>
      <c r="U36" s="27">
        <v>260910</v>
      </c>
      <c r="V36" s="27">
        <v>285487</v>
      </c>
      <c r="W36" s="27">
        <v>292527</v>
      </c>
      <c r="X36" s="14">
        <v>290991</v>
      </c>
      <c r="Y36" s="36">
        <v>291167</v>
      </c>
      <c r="Z36" s="63">
        <v>294436</v>
      </c>
      <c r="AA36" s="63">
        <v>295389</v>
      </c>
      <c r="AB36" s="1">
        <v>304753</v>
      </c>
      <c r="AC36" s="1">
        <v>314239</v>
      </c>
      <c r="AD36" s="63"/>
      <c r="AE36" s="1">
        <v>1036326</v>
      </c>
      <c r="AF36" s="3">
        <v>1167859</v>
      </c>
      <c r="AG36" s="3">
        <v>1337203.551629747</v>
      </c>
      <c r="AH36" s="3">
        <v>1571944.9425903067</v>
      </c>
      <c r="AI36" s="3">
        <v>1839882.8211107631</v>
      </c>
      <c r="AJ36" s="3">
        <v>2163683.8000708967</v>
      </c>
      <c r="AK36" s="3">
        <v>2381288.020191348</v>
      </c>
    </row>
    <row r="37" spans="1:37" ht="12.75">
      <c r="A37" s="1" t="s">
        <v>27</v>
      </c>
      <c r="B37" s="1">
        <v>151955</v>
      </c>
      <c r="C37" s="1">
        <v>364627</v>
      </c>
      <c r="D37" s="1">
        <v>368084</v>
      </c>
      <c r="E37" s="1">
        <v>390812</v>
      </c>
      <c r="F37" s="1">
        <v>392641</v>
      </c>
      <c r="G37" s="1">
        <v>417720.4834879146</v>
      </c>
      <c r="H37" s="1">
        <v>477079.4682392131</v>
      </c>
      <c r="I37" s="1">
        <v>558038.9316745774</v>
      </c>
      <c r="J37" s="1">
        <v>649851.7740622308</v>
      </c>
      <c r="K37" s="1">
        <v>700491.6600944052</v>
      </c>
      <c r="L37" s="244">
        <f t="shared" si="0"/>
        <v>7.792528704757369</v>
      </c>
      <c r="M37" s="250">
        <f>((K37-AC37)*100)/AC37</f>
        <v>382.3890836870013</v>
      </c>
      <c r="N37" s="14">
        <v>63092</v>
      </c>
      <c r="O37" s="14">
        <v>67275</v>
      </c>
      <c r="P37" s="27">
        <v>72375</v>
      </c>
      <c r="Q37" s="27">
        <v>77529</v>
      </c>
      <c r="R37" s="27">
        <v>84072</v>
      </c>
      <c r="S37" s="27">
        <v>91395</v>
      </c>
      <c r="T37" s="27">
        <v>95492</v>
      </c>
      <c r="U37" s="27">
        <v>104043</v>
      </c>
      <c r="V37" s="27">
        <v>108375</v>
      </c>
      <c r="W37" s="27">
        <v>114170</v>
      </c>
      <c r="X37" s="14">
        <v>119293</v>
      </c>
      <c r="Y37" s="36">
        <v>123888</v>
      </c>
      <c r="Z37" s="63">
        <v>130276</v>
      </c>
      <c r="AA37" s="63">
        <v>136022</v>
      </c>
      <c r="AB37" s="1">
        <v>138932</v>
      </c>
      <c r="AC37" s="1">
        <v>145213</v>
      </c>
      <c r="AD37" s="63"/>
      <c r="AE37" s="1">
        <v>390812</v>
      </c>
      <c r="AF37" s="3">
        <v>392641</v>
      </c>
      <c r="AG37" s="3">
        <v>417720.4834879146</v>
      </c>
      <c r="AH37" s="3">
        <v>477079.4682392131</v>
      </c>
      <c r="AI37" s="3">
        <v>558038.9316745774</v>
      </c>
      <c r="AJ37" s="3">
        <v>649851.7740622308</v>
      </c>
      <c r="AK37" s="3">
        <v>700491.6600944052</v>
      </c>
    </row>
    <row r="38" spans="1:37" ht="12.75">
      <c r="A38" s="1" t="s">
        <v>28</v>
      </c>
      <c r="B38" s="1">
        <v>136170</v>
      </c>
      <c r="C38" s="1">
        <v>295866</v>
      </c>
      <c r="D38" s="1">
        <v>302349</v>
      </c>
      <c r="E38" s="1">
        <v>309102</v>
      </c>
      <c r="F38" s="1">
        <v>326836</v>
      </c>
      <c r="G38" s="1">
        <v>346966.27866774367</v>
      </c>
      <c r="H38" s="1">
        <v>395933.3318530434</v>
      </c>
      <c r="I38" s="1">
        <v>446606.32341037603</v>
      </c>
      <c r="J38" s="1">
        <v>520446.31290258555</v>
      </c>
      <c r="K38" s="1">
        <v>554830.7999714551</v>
      </c>
      <c r="L38" s="244">
        <f t="shared" si="0"/>
        <v>6.6067308416700214</v>
      </c>
      <c r="M38" s="250">
        <f>((K38-AC38)*100)/AC38</f>
        <v>334.41523968356717</v>
      </c>
      <c r="N38" s="14">
        <v>97937</v>
      </c>
      <c r="O38" s="14">
        <v>70852</v>
      </c>
      <c r="P38" s="27">
        <v>76722</v>
      </c>
      <c r="Q38" s="27">
        <v>82364</v>
      </c>
      <c r="R38" s="27">
        <v>88249</v>
      </c>
      <c r="S38" s="27">
        <v>94278</v>
      </c>
      <c r="T38" s="27">
        <v>96956</v>
      </c>
      <c r="U38" s="27">
        <v>101506</v>
      </c>
      <c r="V38" s="27">
        <v>105468</v>
      </c>
      <c r="W38" s="27">
        <v>108808</v>
      </c>
      <c r="X38" s="14">
        <v>112491</v>
      </c>
      <c r="Y38" s="36">
        <v>112192</v>
      </c>
      <c r="Z38" s="63">
        <v>119586</v>
      </c>
      <c r="AA38" s="63">
        <v>120400</v>
      </c>
      <c r="AB38" s="1">
        <v>121960</v>
      </c>
      <c r="AC38" s="1">
        <v>127719</v>
      </c>
      <c r="AD38" s="63"/>
      <c r="AE38" s="1">
        <v>309102</v>
      </c>
      <c r="AF38" s="3">
        <v>326836</v>
      </c>
      <c r="AG38" s="3">
        <v>346966.27866774367</v>
      </c>
      <c r="AH38" s="3">
        <v>395933.3318530434</v>
      </c>
      <c r="AI38" s="3">
        <v>446606.32341037603</v>
      </c>
      <c r="AJ38" s="3">
        <v>520446.31290258555</v>
      </c>
      <c r="AK38" s="3">
        <v>554830.7999714551</v>
      </c>
    </row>
    <row r="39" spans="1:37" ht="12.75">
      <c r="A39" s="17" t="s">
        <v>29</v>
      </c>
      <c r="B39" s="1">
        <v>414852</v>
      </c>
      <c r="C39" s="1">
        <v>1052418</v>
      </c>
      <c r="D39" s="1">
        <v>1189225</v>
      </c>
      <c r="E39" s="1">
        <v>1296568</v>
      </c>
      <c r="F39" s="1">
        <v>1513237</v>
      </c>
      <c r="G39" s="1">
        <v>1755047.7693714476</v>
      </c>
      <c r="H39" s="1">
        <v>2179866.7846515495</v>
      </c>
      <c r="I39" s="1">
        <v>2656010.324596743</v>
      </c>
      <c r="J39" s="1">
        <v>3202151.662484316</v>
      </c>
      <c r="K39" s="1">
        <v>3053597.024374802</v>
      </c>
      <c r="L39" s="244">
        <f t="shared" si="0"/>
        <v>-4.63921305945457</v>
      </c>
      <c r="M39" s="250">
        <f>((K39-AC39)*100)/AC39</f>
        <v>671.3616365873737</v>
      </c>
      <c r="N39" s="14">
        <v>210562</v>
      </c>
      <c r="O39" s="14">
        <v>249551</v>
      </c>
      <c r="P39" s="27">
        <v>286218</v>
      </c>
      <c r="Q39" s="27">
        <v>321390</v>
      </c>
      <c r="R39" s="27">
        <v>342311</v>
      </c>
      <c r="S39" s="27">
        <v>359743</v>
      </c>
      <c r="T39" s="27">
        <v>360335</v>
      </c>
      <c r="U39" s="27">
        <v>368306</v>
      </c>
      <c r="V39" s="27">
        <v>371050</v>
      </c>
      <c r="W39" s="27">
        <v>387017</v>
      </c>
      <c r="X39" s="24">
        <v>376756</v>
      </c>
      <c r="Y39" s="14">
        <v>369677</v>
      </c>
      <c r="Z39" s="63">
        <v>369990</v>
      </c>
      <c r="AA39" s="63">
        <v>374542</v>
      </c>
      <c r="AB39" s="1">
        <v>379703</v>
      </c>
      <c r="AC39" s="1">
        <v>395871</v>
      </c>
      <c r="AD39" s="63"/>
      <c r="AE39" s="1">
        <v>1296568</v>
      </c>
      <c r="AF39" s="3">
        <v>1513237</v>
      </c>
      <c r="AG39" s="3">
        <v>1755047.7693714476</v>
      </c>
      <c r="AH39" s="3">
        <v>2179866.7846515495</v>
      </c>
      <c r="AI39" s="3">
        <v>2656010.324596743</v>
      </c>
      <c r="AJ39" s="3">
        <v>3202151.662484316</v>
      </c>
      <c r="AK39" s="3">
        <v>3053597.024374802</v>
      </c>
    </row>
    <row r="40" spans="1:25" ht="12.75">
      <c r="A40" s="1" t="s">
        <v>302</v>
      </c>
      <c r="B40" s="18"/>
      <c r="C40" s="18"/>
      <c r="D40" s="18"/>
      <c r="E40" s="64"/>
      <c r="F40" s="64"/>
      <c r="G40" s="64"/>
      <c r="H40" s="64"/>
      <c r="I40" s="64"/>
      <c r="J40" s="64"/>
      <c r="K40" s="64"/>
      <c r="L40" s="64"/>
      <c r="M40" s="18"/>
      <c r="N40" s="18"/>
      <c r="O40" s="18"/>
      <c r="P40" s="18"/>
      <c r="Q40" s="18"/>
      <c r="Y40" s="18"/>
    </row>
    <row r="41" spans="1:17" ht="12.75">
      <c r="A41" s="1" t="s">
        <v>239</v>
      </c>
      <c r="E41" s="59"/>
      <c r="F41" s="59"/>
      <c r="G41" s="59"/>
      <c r="H41" s="59"/>
      <c r="I41" s="59"/>
      <c r="J41" s="59"/>
      <c r="K41" s="59"/>
      <c r="L41" s="59"/>
      <c r="O41" s="14"/>
      <c r="P41" s="14"/>
      <c r="Q41" s="14"/>
    </row>
    <row r="42" spans="5:17" ht="12.75">
      <c r="E42" s="59"/>
      <c r="F42" s="59"/>
      <c r="G42" s="59"/>
      <c r="H42" s="59"/>
      <c r="I42" s="59"/>
      <c r="J42" s="59"/>
      <c r="K42" s="59"/>
      <c r="L42" s="59"/>
      <c r="O42" s="14"/>
      <c r="P42" s="14"/>
      <c r="Q42" s="14"/>
    </row>
    <row r="43" spans="1:17" ht="12.75">
      <c r="A43" s="7"/>
      <c r="E43" s="59"/>
      <c r="F43" s="59"/>
      <c r="G43" s="59"/>
      <c r="H43" s="59"/>
      <c r="I43" s="59"/>
      <c r="J43" s="59"/>
      <c r="K43" s="59"/>
      <c r="L43" s="59"/>
      <c r="O43" s="14"/>
      <c r="P43" s="14"/>
      <c r="Q43" s="14"/>
    </row>
    <row r="44" spans="5:17" ht="12.75">
      <c r="E44" s="59"/>
      <c r="F44" s="59"/>
      <c r="G44" s="59"/>
      <c r="H44" s="59"/>
      <c r="I44" s="59"/>
      <c r="J44" s="59"/>
      <c r="K44" s="59"/>
      <c r="L44" s="59"/>
      <c r="O44" s="14"/>
      <c r="P44" s="14"/>
      <c r="Q44" s="14"/>
    </row>
    <row r="45" spans="5:17" ht="12.75">
      <c r="E45" s="59"/>
      <c r="F45" s="59"/>
      <c r="G45" s="59"/>
      <c r="H45" s="59"/>
      <c r="I45" s="59"/>
      <c r="J45" s="59"/>
      <c r="K45" s="59"/>
      <c r="L45" s="59"/>
      <c r="O45" s="14"/>
      <c r="P45" s="14"/>
      <c r="Q45" s="14"/>
    </row>
    <row r="46" spans="5:17" ht="12.75">
      <c r="E46" s="59"/>
      <c r="F46" s="59"/>
      <c r="G46" s="59"/>
      <c r="H46" s="59"/>
      <c r="I46" s="59"/>
      <c r="J46" s="59"/>
      <c r="K46" s="59"/>
      <c r="L46" s="59"/>
      <c r="O46" s="14"/>
      <c r="P46" s="14"/>
      <c r="Q46" s="14"/>
    </row>
    <row r="47" spans="5:12" ht="12.75">
      <c r="E47" s="59"/>
      <c r="F47" s="59"/>
      <c r="G47" s="59"/>
      <c r="H47" s="59"/>
      <c r="I47" s="59"/>
      <c r="J47" s="59"/>
      <c r="K47" s="59"/>
      <c r="L47" s="59"/>
    </row>
    <row r="48" spans="5:12" ht="12.75">
      <c r="E48" s="59"/>
      <c r="F48" s="59"/>
      <c r="G48" s="59"/>
      <c r="H48" s="59"/>
      <c r="I48" s="59"/>
      <c r="J48" s="59"/>
      <c r="K48" s="59"/>
      <c r="L48" s="59"/>
    </row>
    <row r="49" spans="5:12" ht="12.75">
      <c r="E49" s="59"/>
      <c r="F49" s="59"/>
      <c r="G49" s="59"/>
      <c r="H49" s="59"/>
      <c r="I49" s="59"/>
      <c r="J49" s="59"/>
      <c r="K49" s="59"/>
      <c r="L49" s="59"/>
    </row>
    <row r="50" spans="5:12" ht="12.75">
      <c r="E50" s="59"/>
      <c r="F50" s="59"/>
      <c r="G50" s="59"/>
      <c r="H50" s="59"/>
      <c r="I50" s="59"/>
      <c r="J50" s="59"/>
      <c r="K50" s="59"/>
      <c r="L50" s="59"/>
    </row>
    <row r="51" spans="5:12" ht="12.75">
      <c r="E51" s="59"/>
      <c r="F51" s="59"/>
      <c r="G51" s="59"/>
      <c r="H51" s="59"/>
      <c r="I51" s="59"/>
      <c r="J51" s="59"/>
      <c r="K51" s="59"/>
      <c r="L51" s="59"/>
    </row>
    <row r="52" spans="5:12" ht="12.75">
      <c r="E52" s="59"/>
      <c r="F52" s="59"/>
      <c r="G52" s="59"/>
      <c r="H52" s="59"/>
      <c r="I52" s="59"/>
      <c r="J52" s="59"/>
      <c r="K52" s="59"/>
      <c r="L52" s="59"/>
    </row>
    <row r="53" spans="5:12" ht="12.75">
      <c r="E53" s="59"/>
      <c r="F53" s="59"/>
      <c r="G53" s="59"/>
      <c r="H53" s="59"/>
      <c r="I53" s="59"/>
      <c r="J53" s="59"/>
      <c r="K53" s="59"/>
      <c r="L53" s="59"/>
    </row>
    <row r="54" spans="5:12" ht="12.75">
      <c r="E54" s="59"/>
      <c r="F54" s="59"/>
      <c r="G54" s="59"/>
      <c r="H54" s="59"/>
      <c r="I54" s="59"/>
      <c r="J54" s="59"/>
      <c r="K54" s="59"/>
      <c r="L54" s="59"/>
    </row>
    <row r="55" spans="5:12" ht="12.75">
      <c r="E55" s="59"/>
      <c r="F55" s="59"/>
      <c r="G55" s="59"/>
      <c r="H55" s="59"/>
      <c r="I55" s="59"/>
      <c r="J55" s="59"/>
      <c r="K55" s="59"/>
      <c r="L55" s="59"/>
    </row>
    <row r="56" spans="5:12" ht="12.75">
      <c r="E56" s="59"/>
      <c r="F56" s="59"/>
      <c r="G56" s="59"/>
      <c r="H56" s="59"/>
      <c r="I56" s="59"/>
      <c r="J56" s="59"/>
      <c r="K56" s="59"/>
      <c r="L56" s="59"/>
    </row>
    <row r="57" spans="5:12" ht="12.75">
      <c r="E57" s="59"/>
      <c r="F57" s="59"/>
      <c r="G57" s="59"/>
      <c r="H57" s="59"/>
      <c r="I57" s="59"/>
      <c r="J57" s="59"/>
      <c r="K57" s="59"/>
      <c r="L57" s="59"/>
    </row>
    <row r="58" spans="5:12" ht="12.75">
      <c r="E58" s="59"/>
      <c r="F58" s="59"/>
      <c r="G58" s="59"/>
      <c r="H58" s="59"/>
      <c r="I58" s="59"/>
      <c r="J58" s="59"/>
      <c r="K58" s="59"/>
      <c r="L58" s="59"/>
    </row>
    <row r="59" spans="5:12" ht="12.75">
      <c r="E59" s="59"/>
      <c r="F59" s="59"/>
      <c r="G59" s="59"/>
      <c r="H59" s="59"/>
      <c r="I59" s="59"/>
      <c r="J59" s="59"/>
      <c r="K59" s="59"/>
      <c r="L59" s="59"/>
    </row>
    <row r="60" spans="5:12" ht="12.75">
      <c r="E60" s="59"/>
      <c r="F60" s="59"/>
      <c r="G60" s="59"/>
      <c r="H60" s="59"/>
      <c r="I60" s="59"/>
      <c r="J60" s="59"/>
      <c r="K60" s="59"/>
      <c r="L60" s="59"/>
    </row>
    <row r="61" spans="5:12" ht="12.75">
      <c r="E61" s="59"/>
      <c r="F61" s="59"/>
      <c r="G61" s="59"/>
      <c r="H61" s="59"/>
      <c r="I61" s="59"/>
      <c r="J61" s="59"/>
      <c r="K61" s="59"/>
      <c r="L61" s="59"/>
    </row>
    <row r="62" spans="5:12" ht="12.75">
      <c r="E62" s="59"/>
      <c r="F62" s="59"/>
      <c r="G62" s="59"/>
      <c r="H62" s="59"/>
      <c r="I62" s="59"/>
      <c r="J62" s="59"/>
      <c r="K62" s="59"/>
      <c r="L62" s="59"/>
    </row>
    <row r="63" spans="5:12" ht="12.75">
      <c r="E63" s="59"/>
      <c r="F63" s="59"/>
      <c r="G63" s="59"/>
      <c r="H63" s="59"/>
      <c r="I63" s="59"/>
      <c r="J63" s="59"/>
      <c r="K63" s="59"/>
      <c r="L63" s="59"/>
    </row>
    <row r="64" spans="5:12" ht="12.75">
      <c r="E64" s="59"/>
      <c r="F64" s="59"/>
      <c r="G64" s="59"/>
      <c r="H64" s="59"/>
      <c r="I64" s="59"/>
      <c r="J64" s="59"/>
      <c r="K64" s="59"/>
      <c r="L64" s="59"/>
    </row>
    <row r="65" spans="5:12" ht="12.75">
      <c r="E65" s="59"/>
      <c r="F65" s="59"/>
      <c r="G65" s="59"/>
      <c r="H65" s="59"/>
      <c r="I65" s="59"/>
      <c r="J65" s="59"/>
      <c r="K65" s="59"/>
      <c r="L65" s="59"/>
    </row>
    <row r="66" spans="5:12" ht="12.75">
      <c r="E66" s="59"/>
      <c r="F66" s="59"/>
      <c r="G66" s="59"/>
      <c r="H66" s="59"/>
      <c r="I66" s="59"/>
      <c r="J66" s="59"/>
      <c r="K66" s="59"/>
      <c r="L66" s="59"/>
    </row>
    <row r="67" spans="5:12" ht="12.75">
      <c r="E67" s="59"/>
      <c r="F67" s="59"/>
      <c r="G67" s="59"/>
      <c r="H67" s="59"/>
      <c r="I67" s="59"/>
      <c r="J67" s="59"/>
      <c r="K67" s="59"/>
      <c r="L67" s="59"/>
    </row>
  </sheetData>
  <sheetProtection password="CAF5" sheet="1"/>
  <mergeCells count="1">
    <mergeCell ref="A4:M4"/>
  </mergeCells>
  <printOptions/>
  <pageMargins left="0.59" right="0.52" top="1" bottom="0.95" header="0.5" footer="0.5"/>
  <pageSetup fitToHeight="1" fitToWidth="1" orientation="landscape" scale="78" r:id="rId1"/>
  <headerFooter scaleWithDoc="0" alignWithMargins="0">
    <oddFooter>&amp;L&amp;"Arial,Italic"&amp;10MSDE-LFRO  10 / 2011&amp;C&amp;"Arial,Regular"&amp;10- 18 -&amp;R&amp;"Lucida Sans,Regular"&amp;10Se&amp;"Arial,Regular"lected Financial Data - Part 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6"/>
  <sheetViews>
    <sheetView zoomScalePageLayoutView="0" workbookViewId="0" topLeftCell="G1">
      <selection activeCell="A41" sqref="A41"/>
    </sheetView>
  </sheetViews>
  <sheetFormatPr defaultColWidth="8.00390625" defaultRowHeight="15.75"/>
  <cols>
    <col min="1" max="1" width="12.50390625" style="134" bestFit="1" customWidth="1"/>
    <col min="2" max="11" width="12.625" style="134" customWidth="1"/>
    <col min="12" max="13" width="6.625" style="134" customWidth="1"/>
    <col min="14" max="14" width="10.125" style="133" customWidth="1"/>
    <col min="15" max="15" width="10.125" style="134" customWidth="1"/>
    <col min="16" max="16" width="10.875" style="196" bestFit="1" customWidth="1"/>
    <col min="17" max="17" width="10.875" style="196" customWidth="1"/>
    <col min="18" max="18" width="12.625" style="134" customWidth="1"/>
    <col min="19" max="23" width="10.875" style="196" customWidth="1"/>
    <col min="24" max="24" width="10.125" style="134" bestFit="1" customWidth="1"/>
    <col min="25" max="25" width="4.00390625" style="134" customWidth="1"/>
    <col min="26" max="26" width="11.00390625" style="134" customWidth="1"/>
    <col min="27" max="27" width="2.75390625" style="134" customWidth="1"/>
    <col min="28" max="29" width="8.00390625" style="134" customWidth="1"/>
    <col min="30" max="30" width="10.00390625" style="134" customWidth="1"/>
    <col min="31" max="31" width="8.00390625" style="134" customWidth="1"/>
    <col min="32" max="32" width="9.75390625" style="212" customWidth="1"/>
    <col min="33" max="33" width="16.25390625" style="134" customWidth="1"/>
    <col min="34" max="35" width="8.00390625" style="134" customWidth="1"/>
    <col min="36" max="36" width="8.875" style="134" bestFit="1" customWidth="1"/>
    <col min="37" max="37" width="8.00390625" style="134" customWidth="1"/>
    <col min="38" max="38" width="8.625" style="134" customWidth="1"/>
    <col min="39" max="39" width="8.00390625" style="134" customWidth="1"/>
    <col min="40" max="40" width="10.125" style="134" bestFit="1" customWidth="1"/>
    <col min="41" max="41" width="8.00390625" style="134" customWidth="1"/>
    <col min="42" max="42" width="10.875" style="134" customWidth="1"/>
    <col min="43" max="16384" width="8.00390625" style="134" customWidth="1"/>
  </cols>
  <sheetData>
    <row r="1" spans="1:18" ht="12.75">
      <c r="A1" s="132" t="s">
        <v>162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O1" s="132"/>
      <c r="R1" s="132"/>
    </row>
    <row r="2" spans="1:18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O2" s="132"/>
      <c r="R2" s="132"/>
    </row>
    <row r="3" spans="1:18" ht="12.75">
      <c r="A3" s="242" t="s">
        <v>240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O3" s="133"/>
      <c r="R3" s="218"/>
    </row>
    <row r="4" spans="1:35" s="3" customFormat="1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201"/>
      <c r="P4" s="201"/>
      <c r="Q4" s="10"/>
      <c r="R4" s="1"/>
      <c r="S4" s="1"/>
      <c r="T4" s="1"/>
      <c r="U4" s="1"/>
      <c r="V4" s="1"/>
      <c r="W4" s="1"/>
      <c r="X4" s="1"/>
      <c r="Y4" s="2"/>
      <c r="Z4" s="2"/>
      <c r="AA4" s="10"/>
      <c r="AB4" s="2"/>
      <c r="AC4" s="2"/>
      <c r="AD4" s="2"/>
      <c r="AE4" s="2"/>
      <c r="AF4" s="2"/>
      <c r="AG4" s="2"/>
      <c r="AH4" s="2"/>
      <c r="AI4" s="1"/>
    </row>
    <row r="5" spans="1:33" ht="13.5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O5" s="132"/>
      <c r="R5" s="132"/>
      <c r="AG5" s="133" t="s">
        <v>253</v>
      </c>
    </row>
    <row r="6" spans="1:42" ht="13.5" thickTop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6"/>
      <c r="X6" s="133" t="s">
        <v>167</v>
      </c>
      <c r="Z6" s="134" t="s">
        <v>167</v>
      </c>
      <c r="AB6" s="134" t="s">
        <v>167</v>
      </c>
      <c r="AD6" s="134" t="s">
        <v>167</v>
      </c>
      <c r="AF6" s="212" t="s">
        <v>167</v>
      </c>
      <c r="AG6" s="134" t="s">
        <v>167</v>
      </c>
      <c r="AJ6" s="212" t="s">
        <v>167</v>
      </c>
      <c r="AL6" s="212" t="s">
        <v>167</v>
      </c>
      <c r="AN6" s="212" t="s">
        <v>167</v>
      </c>
      <c r="AP6" s="212" t="s">
        <v>167</v>
      </c>
    </row>
    <row r="7" spans="1:42" ht="12.75">
      <c r="A7" s="136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297" t="s">
        <v>34</v>
      </c>
      <c r="M7" s="297"/>
      <c r="N7" s="136"/>
      <c r="O7" s="136"/>
      <c r="P7" s="136"/>
      <c r="Q7" s="136"/>
      <c r="R7" s="136"/>
      <c r="S7" s="136"/>
      <c r="T7" s="136"/>
      <c r="U7" s="133"/>
      <c r="V7" s="137"/>
      <c r="W7" s="136"/>
      <c r="X7" s="170" t="s">
        <v>89</v>
      </c>
      <c r="Z7" s="134" t="s">
        <v>89</v>
      </c>
      <c r="AB7" s="134" t="s">
        <v>89</v>
      </c>
      <c r="AD7" s="134" t="s">
        <v>89</v>
      </c>
      <c r="AF7" s="212" t="s">
        <v>89</v>
      </c>
      <c r="AG7" s="134" t="s">
        <v>89</v>
      </c>
      <c r="AJ7" s="212" t="s">
        <v>89</v>
      </c>
      <c r="AL7" s="212" t="s">
        <v>89</v>
      </c>
      <c r="AN7" s="212" t="s">
        <v>89</v>
      </c>
      <c r="AP7" s="212" t="s">
        <v>89</v>
      </c>
    </row>
    <row r="8" spans="1:42" ht="12.7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70" t="s">
        <v>85</v>
      </c>
      <c r="M8" s="170" t="s">
        <v>86</v>
      </c>
      <c r="N8" s="136"/>
      <c r="O8" s="136"/>
      <c r="P8" s="136"/>
      <c r="Q8" s="136"/>
      <c r="R8" s="136"/>
      <c r="S8" s="136"/>
      <c r="T8" s="136"/>
      <c r="U8" s="136"/>
      <c r="V8" s="138"/>
      <c r="W8" s="136"/>
      <c r="X8" s="170" t="s">
        <v>165</v>
      </c>
      <c r="Z8" s="134" t="s">
        <v>165</v>
      </c>
      <c r="AB8" s="134" t="s">
        <v>165</v>
      </c>
      <c r="AD8" s="134" t="s">
        <v>165</v>
      </c>
      <c r="AF8" s="212" t="s">
        <v>165</v>
      </c>
      <c r="AG8" s="134" t="s">
        <v>165</v>
      </c>
      <c r="AH8" s="133" t="s">
        <v>255</v>
      </c>
      <c r="AJ8" s="212" t="s">
        <v>165</v>
      </c>
      <c r="AL8" s="212" t="s">
        <v>165</v>
      </c>
      <c r="AN8" s="212" t="s">
        <v>165</v>
      </c>
      <c r="AP8" s="212" t="s">
        <v>165</v>
      </c>
    </row>
    <row r="9" spans="1:42" ht="13.5" thickBot="1">
      <c r="A9" s="139" t="s">
        <v>1</v>
      </c>
      <c r="B9" s="9" t="s">
        <v>105</v>
      </c>
      <c r="C9" s="9" t="s">
        <v>161</v>
      </c>
      <c r="D9" s="9" t="s">
        <v>168</v>
      </c>
      <c r="E9" s="9" t="s">
        <v>184</v>
      </c>
      <c r="F9" s="9" t="s">
        <v>194</v>
      </c>
      <c r="G9" s="9" t="s">
        <v>208</v>
      </c>
      <c r="H9" s="9" t="s">
        <v>243</v>
      </c>
      <c r="I9" s="9" t="s">
        <v>256</v>
      </c>
      <c r="J9" s="9" t="s">
        <v>269</v>
      </c>
      <c r="K9" s="9" t="s">
        <v>284</v>
      </c>
      <c r="L9" s="140" t="s">
        <v>84</v>
      </c>
      <c r="M9" s="140" t="s">
        <v>84</v>
      </c>
      <c r="N9" s="140" t="s">
        <v>4</v>
      </c>
      <c r="O9" s="140" t="s">
        <v>41</v>
      </c>
      <c r="P9" s="34" t="s">
        <v>178</v>
      </c>
      <c r="Q9" s="34" t="s">
        <v>179</v>
      </c>
      <c r="R9" s="34" t="s">
        <v>180</v>
      </c>
      <c r="S9" s="34" t="s">
        <v>181</v>
      </c>
      <c r="T9" s="34" t="s">
        <v>182</v>
      </c>
      <c r="U9" s="40" t="s">
        <v>183</v>
      </c>
      <c r="V9" s="40" t="s">
        <v>104</v>
      </c>
      <c r="W9" s="34"/>
      <c r="X9" s="140" t="s">
        <v>166</v>
      </c>
      <c r="Z9" s="133" t="s">
        <v>177</v>
      </c>
      <c r="AB9" s="133" t="s">
        <v>191</v>
      </c>
      <c r="AD9" s="133" t="s">
        <v>207</v>
      </c>
      <c r="AF9" s="212" t="s">
        <v>222</v>
      </c>
      <c r="AG9" s="133" t="s">
        <v>222</v>
      </c>
      <c r="AH9" s="133" t="s">
        <v>222</v>
      </c>
      <c r="AJ9" s="212" t="s">
        <v>245</v>
      </c>
      <c r="AL9" s="212" t="s">
        <v>267</v>
      </c>
      <c r="AN9" s="212" t="s">
        <v>275</v>
      </c>
      <c r="AP9" s="212" t="s">
        <v>285</v>
      </c>
    </row>
    <row r="10" spans="1:42" ht="15.75">
      <c r="A10" s="136" t="s">
        <v>5</v>
      </c>
      <c r="B10" s="276">
        <f aca="true" t="shared" si="0" ref="B10:I10">SUM(B12:B39)</f>
        <v>822816.8000000002</v>
      </c>
      <c r="C10" s="276">
        <f t="shared" si="0"/>
        <v>831248.8</v>
      </c>
      <c r="D10" s="276">
        <f t="shared" si="0"/>
        <v>842556.7999999999</v>
      </c>
      <c r="E10" s="276">
        <f t="shared" si="0"/>
        <v>841945.0784601766</v>
      </c>
      <c r="F10" s="276">
        <f t="shared" si="0"/>
        <v>838631.5165138666</v>
      </c>
      <c r="G10" s="276">
        <f t="shared" si="0"/>
        <v>839722.1426900106</v>
      </c>
      <c r="H10" s="276">
        <f t="shared" si="0"/>
        <v>835227.200434274</v>
      </c>
      <c r="I10" s="276">
        <f t="shared" si="0"/>
        <v>836380.2832582366</v>
      </c>
      <c r="J10" s="276">
        <f>SUM(J12:J39)</f>
        <v>833956.8758956675</v>
      </c>
      <c r="K10" s="276">
        <f>SUM(K12:K39)</f>
        <v>838900.5116563159</v>
      </c>
      <c r="L10" s="298">
        <f>(K10-J10)*100/J10</f>
        <v>0.5927927334778501</v>
      </c>
      <c r="M10" s="298">
        <f>(K10-V10)*100/V10</f>
        <v>3.2502849450513085</v>
      </c>
      <c r="N10" s="141">
        <f aca="true" t="shared" si="1" ref="N10:S10">SUM(N12:N39)</f>
        <v>702042.2000000001</v>
      </c>
      <c r="O10" s="141">
        <f t="shared" si="1"/>
        <v>715887.7999999999</v>
      </c>
      <c r="P10" s="141">
        <f t="shared" si="1"/>
        <v>733363.2999999998</v>
      </c>
      <c r="Q10" s="141">
        <f t="shared" si="1"/>
        <v>750480.4000000001</v>
      </c>
      <c r="R10" s="141">
        <f t="shared" si="1"/>
        <v>768162.9000000001</v>
      </c>
      <c r="S10" s="141">
        <f t="shared" si="1"/>
        <v>781870.7999999999</v>
      </c>
      <c r="T10" s="141">
        <f>SUM(T12:T39)</f>
        <v>795028.6</v>
      </c>
      <c r="U10" s="141">
        <f>SUM(U12:U39)</f>
        <v>806171.6000000001</v>
      </c>
      <c r="V10" s="141">
        <f>SUM(V12:V39)</f>
        <v>812492.1999999997</v>
      </c>
      <c r="W10" s="141"/>
      <c r="X10" s="165">
        <v>831248.9</v>
      </c>
      <c r="Z10" s="175">
        <v>842556.5</v>
      </c>
      <c r="AB10" s="134">
        <v>841945.078460177</v>
      </c>
      <c r="AD10" s="134">
        <v>838631.516513867</v>
      </c>
      <c r="AF10" s="212">
        <v>841180.188941391</v>
      </c>
      <c r="AG10" s="212">
        <v>839722.1426900106</v>
      </c>
      <c r="AH10" s="258">
        <f>AF10-AG10</f>
        <v>1458.0462513803504</v>
      </c>
      <c r="AJ10" s="212">
        <v>835227.200434274</v>
      </c>
      <c r="AL10" s="246">
        <v>836380.2832582366</v>
      </c>
      <c r="AN10" s="165">
        <f>SUM(AN12:AN39)</f>
        <v>833956.8758956675</v>
      </c>
      <c r="AP10" s="165">
        <f>SUM(AP12:AP39)</f>
        <v>838900.5116563159</v>
      </c>
    </row>
    <row r="11" spans="1:40" ht="15.75">
      <c r="A11" s="133"/>
      <c r="B11" s="133"/>
      <c r="C11" s="304"/>
      <c r="D11" s="304"/>
      <c r="E11" s="304"/>
      <c r="F11" s="304"/>
      <c r="G11" s="304"/>
      <c r="H11" s="304"/>
      <c r="I11" s="304"/>
      <c r="J11" s="304"/>
      <c r="K11" s="304"/>
      <c r="L11" s="133"/>
      <c r="M11" s="299"/>
      <c r="N11" s="137"/>
      <c r="O11" s="137"/>
      <c r="P11" s="137"/>
      <c r="Q11" s="137"/>
      <c r="R11" s="142"/>
      <c r="S11" s="137"/>
      <c r="T11" s="137"/>
      <c r="U11" s="137"/>
      <c r="V11" s="137"/>
      <c r="W11" s="137"/>
      <c r="X11" s="166"/>
      <c r="Z11" s="175"/>
      <c r="AG11" s="212"/>
      <c r="AJ11" s="212"/>
      <c r="AN11" s="166"/>
    </row>
    <row r="12" spans="1:42" ht="12.75">
      <c r="A12" s="133" t="s">
        <v>6</v>
      </c>
      <c r="B12" s="300">
        <v>10273.6</v>
      </c>
      <c r="C12" s="272">
        <v>10052.6</v>
      </c>
      <c r="D12" s="272">
        <v>9977.7</v>
      </c>
      <c r="E12" s="272">
        <v>9716.57001630216</v>
      </c>
      <c r="F12" s="272">
        <v>9596.45</v>
      </c>
      <c r="G12" s="272">
        <v>9471.1</v>
      </c>
      <c r="H12" s="272">
        <v>9238.3</v>
      </c>
      <c r="I12" s="272">
        <v>9161.6</v>
      </c>
      <c r="J12" s="272">
        <v>8969.300000000001</v>
      </c>
      <c r="K12" s="272">
        <v>8902.25</v>
      </c>
      <c r="L12" s="298">
        <f aca="true" t="shared" si="2" ref="L12:L39">(K12-J12)*100/J12</f>
        <v>-0.7475499760293566</v>
      </c>
      <c r="M12" s="298">
        <f>(K12-V12)*100/V12</f>
        <v>-15.57767261899117</v>
      </c>
      <c r="N12" s="143">
        <v>10663.2</v>
      </c>
      <c r="O12" s="143">
        <v>10675.1</v>
      </c>
      <c r="P12" s="144">
        <v>10709.7</v>
      </c>
      <c r="Q12" s="145">
        <v>10774.7</v>
      </c>
      <c r="R12" s="146">
        <v>10816.1</v>
      </c>
      <c r="S12" s="141">
        <v>10862.2</v>
      </c>
      <c r="T12" s="141">
        <v>10953.9</v>
      </c>
      <c r="U12" s="146">
        <v>10824.2</v>
      </c>
      <c r="V12" s="146">
        <v>10544.9</v>
      </c>
      <c r="W12" s="141"/>
      <c r="X12" s="167">
        <v>10052.6</v>
      </c>
      <c r="Z12" s="175">
        <v>9977.7</v>
      </c>
      <c r="AB12" s="134">
        <v>9716.57001630216</v>
      </c>
      <c r="AD12" s="134">
        <v>9596.45</v>
      </c>
      <c r="AF12" s="212">
        <v>9471.1</v>
      </c>
      <c r="AG12" s="212">
        <v>9471.1</v>
      </c>
      <c r="AH12" s="258">
        <f>AF12-AG12</f>
        <v>0</v>
      </c>
      <c r="AJ12" s="212">
        <v>9238.3</v>
      </c>
      <c r="AL12" s="134">
        <v>9161.6</v>
      </c>
      <c r="AN12" s="272">
        <v>8969.300000000001</v>
      </c>
      <c r="AP12" s="272">
        <v>8902.25</v>
      </c>
    </row>
    <row r="13" spans="1:42" ht="12.75">
      <c r="A13" s="133" t="s">
        <v>7</v>
      </c>
      <c r="B13" s="301">
        <v>71004</v>
      </c>
      <c r="C13" s="273">
        <v>71606.1</v>
      </c>
      <c r="D13" s="273">
        <v>71451.5</v>
      </c>
      <c r="E13" s="273">
        <v>71495.843019129</v>
      </c>
      <c r="F13" s="273">
        <v>71452.6194128582</v>
      </c>
      <c r="G13" s="273">
        <v>71479.95683635464</v>
      </c>
      <c r="H13" s="273">
        <v>71682.51183033136</v>
      </c>
      <c r="I13" s="273">
        <v>72579.3707970112</v>
      </c>
      <c r="J13" s="273">
        <v>72805.61472684085</v>
      </c>
      <c r="K13" s="273">
        <v>73915.92015891701</v>
      </c>
      <c r="L13" s="298">
        <f t="shared" si="2"/>
        <v>1.5250272059949082</v>
      </c>
      <c r="M13" s="298">
        <f>(K13-V13)*100/V13</f>
        <v>4.067940967070092</v>
      </c>
      <c r="N13" s="143">
        <v>63850.2</v>
      </c>
      <c r="O13" s="143">
        <v>63586</v>
      </c>
      <c r="P13" s="144">
        <v>64803.7</v>
      </c>
      <c r="Q13" s="147">
        <v>65794.6</v>
      </c>
      <c r="R13" s="146">
        <v>67439.3</v>
      </c>
      <c r="S13" s="141">
        <v>68691.1</v>
      </c>
      <c r="T13" s="141">
        <v>69714.1</v>
      </c>
      <c r="U13" s="146">
        <v>70275</v>
      </c>
      <c r="V13" s="146">
        <v>71026.6</v>
      </c>
      <c r="W13" s="141"/>
      <c r="X13" s="168">
        <v>71606.1</v>
      </c>
      <c r="Z13" s="175">
        <v>71451.5</v>
      </c>
      <c r="AB13" s="134">
        <v>71495.843019129</v>
      </c>
      <c r="AD13" s="134">
        <v>71452.6194128582</v>
      </c>
      <c r="AF13" s="212">
        <v>72118.8568363547</v>
      </c>
      <c r="AG13" s="212">
        <v>71479.95683635464</v>
      </c>
      <c r="AH13" s="258">
        <f>AF13-AG13</f>
        <v>638.9000000000524</v>
      </c>
      <c r="AJ13" s="212">
        <v>71682.51183033136</v>
      </c>
      <c r="AL13" s="134">
        <v>72579.3707970112</v>
      </c>
      <c r="AN13" s="273">
        <v>72805.61472684085</v>
      </c>
      <c r="AP13" s="273">
        <v>73915.92015891701</v>
      </c>
    </row>
    <row r="14" spans="1:42" ht="12.75">
      <c r="A14" s="133" t="s">
        <v>8</v>
      </c>
      <c r="B14" s="301">
        <v>96033</v>
      </c>
      <c r="C14" s="273">
        <v>94313.3</v>
      </c>
      <c r="D14" s="273">
        <v>93443.9</v>
      </c>
      <c r="E14" s="273">
        <v>90098.3946505677</v>
      </c>
      <c r="F14" s="273">
        <v>86942.1281734635</v>
      </c>
      <c r="G14" s="273">
        <v>83549.35</v>
      </c>
      <c r="H14" s="273">
        <v>81425.95</v>
      </c>
      <c r="I14" s="273">
        <v>79529.55</v>
      </c>
      <c r="J14" s="273">
        <v>79648.15000000001</v>
      </c>
      <c r="K14" s="274">
        <v>82147.47971137521</v>
      </c>
      <c r="L14" s="298">
        <f t="shared" si="2"/>
        <v>3.1379632940315685</v>
      </c>
      <c r="M14" s="298">
        <f>(K14-V14)*100/V14</f>
        <v>-15.506559924940767</v>
      </c>
      <c r="N14" s="143">
        <v>104927</v>
      </c>
      <c r="O14" s="143">
        <v>105051.8</v>
      </c>
      <c r="P14" s="144">
        <v>106611.1</v>
      </c>
      <c r="Q14" s="147">
        <v>105815.3</v>
      </c>
      <c r="R14" s="146">
        <v>104479.4</v>
      </c>
      <c r="S14" s="141">
        <v>103480.3</v>
      </c>
      <c r="T14" s="141">
        <v>102446.4</v>
      </c>
      <c r="U14" s="146">
        <v>101185.7</v>
      </c>
      <c r="V14" s="146">
        <v>97223.5</v>
      </c>
      <c r="W14" s="141"/>
      <c r="X14" s="168">
        <v>94313.3</v>
      </c>
      <c r="Z14" s="175">
        <v>93443.9</v>
      </c>
      <c r="AB14" s="134">
        <v>90098.3946505677</v>
      </c>
      <c r="AD14" s="134">
        <v>86942.1281734635</v>
      </c>
      <c r="AF14" s="212">
        <v>83549.35</v>
      </c>
      <c r="AG14" s="212">
        <v>83549.35</v>
      </c>
      <c r="AH14" s="258">
        <f>AF14-AG14</f>
        <v>0</v>
      </c>
      <c r="AJ14" s="212">
        <v>81425.95</v>
      </c>
      <c r="AL14" s="134">
        <v>79529.55</v>
      </c>
      <c r="AN14" s="274">
        <v>79648.15000000001</v>
      </c>
      <c r="AP14" s="274">
        <v>82147.47971137521</v>
      </c>
    </row>
    <row r="15" spans="1:42" ht="12.75">
      <c r="A15" s="133" t="s">
        <v>9</v>
      </c>
      <c r="B15" s="300">
        <v>103834.1</v>
      </c>
      <c r="C15" s="272">
        <v>104614.2</v>
      </c>
      <c r="D15" s="272">
        <v>105422.7</v>
      </c>
      <c r="E15" s="272">
        <v>105442.265812449</v>
      </c>
      <c r="F15" s="272">
        <v>104854.783740291</v>
      </c>
      <c r="G15" s="272">
        <v>104575.01085508052</v>
      </c>
      <c r="H15" s="272">
        <v>103409.89031127314</v>
      </c>
      <c r="I15" s="272">
        <v>103862.45582685905</v>
      </c>
      <c r="J15" s="272">
        <v>101282.40000000001</v>
      </c>
      <c r="K15" s="272">
        <v>101426.1</v>
      </c>
      <c r="L15" s="298">
        <f t="shared" si="2"/>
        <v>0.1418805241581924</v>
      </c>
      <c r="M15" s="298">
        <f>(K15-V15)*100/V15</f>
        <v>-1.7321310404896904</v>
      </c>
      <c r="N15" s="143">
        <v>84341.3</v>
      </c>
      <c r="O15" s="143">
        <v>88822.8</v>
      </c>
      <c r="P15" s="144">
        <v>90715</v>
      </c>
      <c r="Q15" s="147">
        <v>94952.3</v>
      </c>
      <c r="R15" s="146">
        <v>97953.8</v>
      </c>
      <c r="S15" s="141">
        <v>99833.5</v>
      </c>
      <c r="T15" s="141">
        <v>100698.3</v>
      </c>
      <c r="U15" s="146">
        <v>102424.7</v>
      </c>
      <c r="V15" s="146">
        <v>103213.9</v>
      </c>
      <c r="W15" s="141"/>
      <c r="X15" s="167">
        <v>104614.2</v>
      </c>
      <c r="Z15" s="175">
        <v>105422.7</v>
      </c>
      <c r="AB15" s="134">
        <v>105442.265812449</v>
      </c>
      <c r="AD15" s="134">
        <v>104854.783740291</v>
      </c>
      <c r="AF15" s="212">
        <v>104575.010855081</v>
      </c>
      <c r="AG15" s="212">
        <v>104575.01085508052</v>
      </c>
      <c r="AH15" s="258">
        <f>AF15-AG15</f>
        <v>4.802132025361061E-10</v>
      </c>
      <c r="AJ15" s="212">
        <v>103409.89031127314</v>
      </c>
      <c r="AL15" s="134">
        <v>103862.45582685905</v>
      </c>
      <c r="AN15" s="272">
        <v>101282.40000000001</v>
      </c>
      <c r="AP15" s="272">
        <v>101426.1</v>
      </c>
    </row>
    <row r="16" spans="1:42" ht="12.75">
      <c r="A16" s="133" t="s">
        <v>10</v>
      </c>
      <c r="B16" s="300">
        <v>15585.8</v>
      </c>
      <c r="C16" s="272">
        <v>15698.7</v>
      </c>
      <c r="D16" s="272">
        <v>16067.7</v>
      </c>
      <c r="E16" s="272">
        <v>16335.1373104447</v>
      </c>
      <c r="F16" s="272">
        <v>16429.840469743</v>
      </c>
      <c r="G16" s="272">
        <v>16863.28111010433</v>
      </c>
      <c r="H16" s="272">
        <v>17419.6</v>
      </c>
      <c r="I16" s="272">
        <v>17270.5</v>
      </c>
      <c r="J16" s="272">
        <v>17023.6</v>
      </c>
      <c r="K16" s="272">
        <v>16920.3</v>
      </c>
      <c r="L16" s="298">
        <f t="shared" si="2"/>
        <v>-0.6068046711623821</v>
      </c>
      <c r="M16" s="298">
        <f>(K16-V16)*100/V16</f>
        <v>11.67188056864531</v>
      </c>
      <c r="N16" s="143">
        <v>10462.7</v>
      </c>
      <c r="O16" s="143">
        <v>11256.8</v>
      </c>
      <c r="P16" s="144">
        <v>11592.3</v>
      </c>
      <c r="Q16" s="147">
        <v>12137.6</v>
      </c>
      <c r="R16" s="146">
        <v>12740.5</v>
      </c>
      <c r="S16" s="141">
        <v>13582.3</v>
      </c>
      <c r="T16" s="141">
        <v>14112.4</v>
      </c>
      <c r="U16" s="146">
        <v>14604.8</v>
      </c>
      <c r="V16" s="146">
        <v>15151.8</v>
      </c>
      <c r="W16" s="141"/>
      <c r="X16" s="167">
        <v>15698.7</v>
      </c>
      <c r="Z16" s="175">
        <v>16067.7</v>
      </c>
      <c r="AB16" s="134">
        <v>16335.1373104447</v>
      </c>
      <c r="AD16" s="134">
        <v>16429.840469743</v>
      </c>
      <c r="AF16" s="212">
        <v>16863.2811101043</v>
      </c>
      <c r="AG16" s="212">
        <v>16863.28111010433</v>
      </c>
      <c r="AH16" s="258">
        <f>AF16-AG16</f>
        <v>-2.9103830456733704E-11</v>
      </c>
      <c r="AJ16" s="212">
        <v>17419.6</v>
      </c>
      <c r="AL16" s="134">
        <v>17270.5</v>
      </c>
      <c r="AN16" s="272">
        <v>17023.6</v>
      </c>
      <c r="AP16" s="272">
        <v>16920.3</v>
      </c>
    </row>
    <row r="17" spans="1:42" ht="12.75">
      <c r="A17" s="133"/>
      <c r="B17" s="300"/>
      <c r="C17" s="272"/>
      <c r="D17" s="272"/>
      <c r="E17" s="272"/>
      <c r="F17" s="272"/>
      <c r="G17" s="272"/>
      <c r="H17" s="272"/>
      <c r="I17" s="272"/>
      <c r="J17" s="272"/>
      <c r="K17" s="272"/>
      <c r="L17" s="298"/>
      <c r="M17" s="298"/>
      <c r="N17" s="143"/>
      <c r="O17" s="143"/>
      <c r="P17" s="148"/>
      <c r="Q17" s="147"/>
      <c r="R17" s="146"/>
      <c r="S17" s="141"/>
      <c r="T17" s="141"/>
      <c r="U17" s="146"/>
      <c r="V17" s="146"/>
      <c r="W17" s="141"/>
      <c r="X17" s="167"/>
      <c r="Z17" s="175"/>
      <c r="AG17" s="212"/>
      <c r="AJ17" s="212"/>
      <c r="AN17" s="272"/>
      <c r="AP17" s="272"/>
    </row>
    <row r="18" spans="1:42" ht="12.75">
      <c r="A18" s="133" t="s">
        <v>11</v>
      </c>
      <c r="B18" s="300">
        <v>5419.8</v>
      </c>
      <c r="C18" s="272">
        <v>5438.7</v>
      </c>
      <c r="D18" s="272">
        <v>5393</v>
      </c>
      <c r="E18" s="272">
        <v>5281.65</v>
      </c>
      <c r="F18" s="272">
        <v>5302.43900414938</v>
      </c>
      <c r="G18" s="272">
        <v>5427.05</v>
      </c>
      <c r="H18" s="272">
        <v>5430.3</v>
      </c>
      <c r="I18" s="272">
        <v>5457.25</v>
      </c>
      <c r="J18" s="272">
        <v>5353.599999999999</v>
      </c>
      <c r="K18" s="272">
        <v>5375.75</v>
      </c>
      <c r="L18" s="298">
        <f t="shared" si="2"/>
        <v>0.41374028690975323</v>
      </c>
      <c r="M18" s="298">
        <f>(K18-V18)*100/V18</f>
        <v>-1.7212380482275662</v>
      </c>
      <c r="N18" s="143">
        <v>4866.5</v>
      </c>
      <c r="O18" s="143">
        <v>4967.4</v>
      </c>
      <c r="P18" s="144">
        <v>5105.8</v>
      </c>
      <c r="Q18" s="147">
        <v>5278.1</v>
      </c>
      <c r="R18" s="146">
        <v>5464.4</v>
      </c>
      <c r="S18" s="141">
        <v>5457.6</v>
      </c>
      <c r="T18" s="141">
        <v>5518.5</v>
      </c>
      <c r="U18" s="146">
        <v>5529.8</v>
      </c>
      <c r="V18" s="146">
        <v>5469.9</v>
      </c>
      <c r="W18" s="141"/>
      <c r="X18" s="167">
        <v>5438.7</v>
      </c>
      <c r="Z18" s="175">
        <v>5393</v>
      </c>
      <c r="AB18" s="134">
        <v>5281.65</v>
      </c>
      <c r="AD18" s="134">
        <v>5302.43900414938</v>
      </c>
      <c r="AF18" s="212">
        <v>5419.85</v>
      </c>
      <c r="AG18" s="212">
        <v>5427.05</v>
      </c>
      <c r="AH18" s="258">
        <f>AF18-AG18</f>
        <v>-7.199999999999818</v>
      </c>
      <c r="AJ18" s="212">
        <v>5430.3</v>
      </c>
      <c r="AL18" s="134">
        <v>5457.25</v>
      </c>
      <c r="AN18" s="272">
        <v>5353.599999999999</v>
      </c>
      <c r="AP18" s="272">
        <v>5375.75</v>
      </c>
    </row>
    <row r="19" spans="1:42" ht="12.75">
      <c r="A19" s="133" t="s">
        <v>12</v>
      </c>
      <c r="B19" s="300">
        <v>26519.8</v>
      </c>
      <c r="C19" s="272">
        <v>27028.3</v>
      </c>
      <c r="D19" s="272">
        <v>27369.2</v>
      </c>
      <c r="E19" s="272">
        <v>27671.2132953958</v>
      </c>
      <c r="F19" s="272">
        <v>27710.2918611269</v>
      </c>
      <c r="G19" s="272">
        <v>28385.6699734748</v>
      </c>
      <c r="H19" s="272">
        <v>27921.803371089536</v>
      </c>
      <c r="I19" s="272">
        <v>28041.25</v>
      </c>
      <c r="J19" s="272">
        <v>27769.55</v>
      </c>
      <c r="K19" s="272">
        <v>27527.8</v>
      </c>
      <c r="L19" s="298">
        <f t="shared" si="2"/>
        <v>-0.8705578592379063</v>
      </c>
      <c r="M19" s="298">
        <f>(K19-V19)*100/V19</f>
        <v>4.2561733070746826</v>
      </c>
      <c r="N19" s="143">
        <v>21440.2</v>
      </c>
      <c r="O19" s="143">
        <v>22079.1</v>
      </c>
      <c r="P19" s="144">
        <v>22627.3</v>
      </c>
      <c r="Q19" s="147">
        <v>23355.3</v>
      </c>
      <c r="R19" s="146">
        <v>24257.1</v>
      </c>
      <c r="S19" s="141">
        <v>25125.9</v>
      </c>
      <c r="T19" s="141">
        <v>25761.4</v>
      </c>
      <c r="U19" s="146">
        <v>26141</v>
      </c>
      <c r="V19" s="146">
        <v>26404</v>
      </c>
      <c r="W19" s="141"/>
      <c r="X19" s="167">
        <v>27028.3</v>
      </c>
      <c r="Z19" s="175">
        <v>27369.2</v>
      </c>
      <c r="AB19" s="134">
        <v>27671.2132953958</v>
      </c>
      <c r="AD19" s="134">
        <v>27710.2918611269</v>
      </c>
      <c r="AF19" s="212">
        <v>28272.9199734748</v>
      </c>
      <c r="AG19" s="212">
        <v>28385.6699734748</v>
      </c>
      <c r="AH19" s="258">
        <f>AF19-AG19</f>
        <v>-112.75</v>
      </c>
      <c r="AJ19" s="212">
        <v>27921.803371089536</v>
      </c>
      <c r="AL19" s="134">
        <v>28041.25</v>
      </c>
      <c r="AN19" s="272">
        <v>27769.55</v>
      </c>
      <c r="AP19" s="272">
        <v>27527.8</v>
      </c>
    </row>
    <row r="20" spans="1:42" ht="12.75">
      <c r="A20" s="133" t="s">
        <v>13</v>
      </c>
      <c r="B20" s="300">
        <v>15060.6</v>
      </c>
      <c r="C20" s="272">
        <v>15271.1</v>
      </c>
      <c r="D20" s="272">
        <v>15502.2</v>
      </c>
      <c r="E20" s="272">
        <v>15605.45</v>
      </c>
      <c r="F20" s="272">
        <v>15799.9361256545</v>
      </c>
      <c r="G20" s="272">
        <v>16028.628622836024</v>
      </c>
      <c r="H20" s="272">
        <v>16066.277715355805</v>
      </c>
      <c r="I20" s="272">
        <v>15964.113909774436</v>
      </c>
      <c r="J20" s="272">
        <v>15857.789583333333</v>
      </c>
      <c r="K20" s="272">
        <v>15776.145722543351</v>
      </c>
      <c r="L20" s="298">
        <f t="shared" si="2"/>
        <v>-0.5148501962454474</v>
      </c>
      <c r="M20" s="298">
        <f>(K20-V20)*100/V20</f>
        <v>6.417976232526463</v>
      </c>
      <c r="N20" s="143">
        <v>12492</v>
      </c>
      <c r="O20" s="143">
        <v>12764.8</v>
      </c>
      <c r="P20" s="144">
        <v>13018.1</v>
      </c>
      <c r="Q20" s="147">
        <v>13427</v>
      </c>
      <c r="R20" s="146">
        <v>13718.2</v>
      </c>
      <c r="S20" s="141">
        <v>14049</v>
      </c>
      <c r="T20" s="141">
        <v>14429</v>
      </c>
      <c r="U20" s="146">
        <v>14628</v>
      </c>
      <c r="V20" s="146">
        <v>14824.7</v>
      </c>
      <c r="W20" s="141"/>
      <c r="X20" s="167">
        <v>15271.1</v>
      </c>
      <c r="Z20" s="175">
        <v>15502.2</v>
      </c>
      <c r="AB20" s="134">
        <v>15605.45</v>
      </c>
      <c r="AD20" s="134">
        <v>15799.9361256545</v>
      </c>
      <c r="AF20" s="212">
        <v>15888.5088290216</v>
      </c>
      <c r="AG20" s="212">
        <v>16028.628622836024</v>
      </c>
      <c r="AH20" s="258">
        <f>AF20-AG20</f>
        <v>-140.11979381442325</v>
      </c>
      <c r="AJ20" s="212">
        <v>16066.277715355805</v>
      </c>
      <c r="AL20" s="134">
        <v>15964.113909774436</v>
      </c>
      <c r="AN20" s="272">
        <v>15857.789583333333</v>
      </c>
      <c r="AP20" s="272">
        <v>15776.145722543351</v>
      </c>
    </row>
    <row r="21" spans="1:42" ht="12.75">
      <c r="A21" s="133" t="s">
        <v>14</v>
      </c>
      <c r="B21" s="300">
        <v>22539.4</v>
      </c>
      <c r="C21" s="272">
        <v>23133.8</v>
      </c>
      <c r="D21" s="272">
        <v>23818.5</v>
      </c>
      <c r="E21" s="272">
        <v>24703.7755403458</v>
      </c>
      <c r="F21" s="272">
        <v>25126.1377769836</v>
      </c>
      <c r="G21" s="272">
        <v>25695.2396063979</v>
      </c>
      <c r="H21" s="272">
        <v>26063.10282381126</v>
      </c>
      <c r="I21" s="272">
        <v>26300.750462962962</v>
      </c>
      <c r="J21" s="272">
        <v>26374.932969432313</v>
      </c>
      <c r="K21" s="272">
        <v>26438.44112149533</v>
      </c>
      <c r="L21" s="298">
        <f t="shared" si="2"/>
        <v>0.2407898140883219</v>
      </c>
      <c r="M21" s="298">
        <f>(K21-V21)*100/V21</f>
        <v>20.630386238452186</v>
      </c>
      <c r="N21" s="143">
        <v>18271.3</v>
      </c>
      <c r="O21" s="143">
        <v>18678.4</v>
      </c>
      <c r="P21" s="144">
        <v>19315.2</v>
      </c>
      <c r="Q21" s="147">
        <v>19569.9</v>
      </c>
      <c r="R21" s="146">
        <v>19921.3</v>
      </c>
      <c r="S21" s="141">
        <v>19752.9</v>
      </c>
      <c r="T21" s="141">
        <v>20787</v>
      </c>
      <c r="U21" s="146">
        <v>21433.1</v>
      </c>
      <c r="V21" s="146">
        <v>21916.9</v>
      </c>
      <c r="W21" s="141"/>
      <c r="X21" s="167">
        <v>23133.8</v>
      </c>
      <c r="Z21" s="175">
        <v>23818.5</v>
      </c>
      <c r="AB21" s="134">
        <v>24703.7755403458</v>
      </c>
      <c r="AD21" s="134">
        <v>25126.1377769836</v>
      </c>
      <c r="AF21" s="212">
        <v>25965.334555247</v>
      </c>
      <c r="AG21" s="212">
        <v>25695.2396063979</v>
      </c>
      <c r="AH21" s="258">
        <f>AF21-AG21</f>
        <v>270.0949488490987</v>
      </c>
      <c r="AJ21" s="212">
        <v>26063.10282381126</v>
      </c>
      <c r="AL21" s="134">
        <v>26300.750462962962</v>
      </c>
      <c r="AN21" s="272">
        <v>26374.932969432313</v>
      </c>
      <c r="AP21" s="272">
        <v>26438.44112149533</v>
      </c>
    </row>
    <row r="22" spans="1:42" ht="12.75">
      <c r="A22" s="133" t="s">
        <v>15</v>
      </c>
      <c r="B22" s="300">
        <v>4664.9</v>
      </c>
      <c r="C22" s="272">
        <v>4610.4</v>
      </c>
      <c r="D22" s="272">
        <v>4564</v>
      </c>
      <c r="E22" s="272">
        <v>4567.71288461538</v>
      </c>
      <c r="F22" s="272">
        <v>4605.15</v>
      </c>
      <c r="G22" s="272">
        <v>4506.05</v>
      </c>
      <c r="H22" s="272">
        <v>4522.9</v>
      </c>
      <c r="I22" s="272">
        <v>4497.35</v>
      </c>
      <c r="J22" s="272">
        <v>4429.2</v>
      </c>
      <c r="K22" s="272">
        <v>4504.2</v>
      </c>
      <c r="L22" s="298">
        <f t="shared" si="2"/>
        <v>1.6933080465998376</v>
      </c>
      <c r="M22" s="298">
        <f>(K22-V22)*100/V22</f>
        <v>-6.070527391404091</v>
      </c>
      <c r="N22" s="143">
        <v>4673.8</v>
      </c>
      <c r="O22" s="143">
        <v>4759.1</v>
      </c>
      <c r="P22" s="144">
        <v>4811.6</v>
      </c>
      <c r="Q22" s="147">
        <v>4820.9</v>
      </c>
      <c r="R22" s="146">
        <v>4879.2</v>
      </c>
      <c r="S22" s="141">
        <v>4889.4</v>
      </c>
      <c r="T22" s="141">
        <v>4882.6</v>
      </c>
      <c r="U22" s="146">
        <v>4864.4</v>
      </c>
      <c r="V22" s="146">
        <v>4795.3</v>
      </c>
      <c r="W22" s="141"/>
      <c r="X22" s="167">
        <v>4610.4</v>
      </c>
      <c r="Z22" s="175">
        <v>4564</v>
      </c>
      <c r="AB22" s="134">
        <v>4567.71288461538</v>
      </c>
      <c r="AD22" s="134">
        <v>4605.15</v>
      </c>
      <c r="AF22" s="212">
        <v>4234.15</v>
      </c>
      <c r="AG22" s="212">
        <v>4506.05</v>
      </c>
      <c r="AH22" s="258">
        <f>AF22-AG22</f>
        <v>-271.90000000000055</v>
      </c>
      <c r="AJ22" s="212">
        <v>4522.9</v>
      </c>
      <c r="AL22" s="134">
        <v>4497.35</v>
      </c>
      <c r="AN22" s="272">
        <v>4429.2</v>
      </c>
      <c r="AP22" s="272">
        <v>4504.2</v>
      </c>
    </row>
    <row r="23" spans="1:42" ht="12.75">
      <c r="A23" s="133"/>
      <c r="B23" s="300"/>
      <c r="C23" s="272"/>
      <c r="D23" s="272"/>
      <c r="E23" s="272"/>
      <c r="F23" s="272"/>
      <c r="G23" s="272"/>
      <c r="H23" s="272"/>
      <c r="I23" s="272"/>
      <c r="J23" s="272"/>
      <c r="K23" s="272"/>
      <c r="L23" s="298"/>
      <c r="M23" s="298"/>
      <c r="N23" s="143"/>
      <c r="O23" s="143"/>
      <c r="P23" s="148"/>
      <c r="Q23" s="147"/>
      <c r="R23" s="146"/>
      <c r="S23" s="141"/>
      <c r="T23" s="141"/>
      <c r="U23" s="146"/>
      <c r="V23" s="146"/>
      <c r="W23" s="141"/>
      <c r="X23" s="167"/>
      <c r="Z23" s="175"/>
      <c r="AG23" s="212"/>
      <c r="AJ23" s="212"/>
      <c r="AN23" s="272"/>
      <c r="AP23" s="272"/>
    </row>
    <row r="24" spans="1:42" ht="12.75">
      <c r="A24" s="133" t="s">
        <v>16</v>
      </c>
      <c r="B24" s="300">
        <v>35288.1</v>
      </c>
      <c r="C24" s="272">
        <v>36733.2</v>
      </c>
      <c r="D24" s="272">
        <v>36843.7</v>
      </c>
      <c r="E24" s="272">
        <v>37318</v>
      </c>
      <c r="F24" s="272">
        <v>38345.7197742312</v>
      </c>
      <c r="G24" s="272">
        <v>39141.61639605665</v>
      </c>
      <c r="H24" s="272">
        <v>39635.52244897959</v>
      </c>
      <c r="I24" s="272">
        <v>39879.86449026346</v>
      </c>
      <c r="J24" s="272">
        <v>40051.7</v>
      </c>
      <c r="K24" s="272">
        <v>40115.8</v>
      </c>
      <c r="L24" s="298">
        <f t="shared" si="2"/>
        <v>0.16004314423608942</v>
      </c>
      <c r="M24" s="298">
        <f>(K24-V24)*100/V24</f>
        <v>16.423125701963905</v>
      </c>
      <c r="N24" s="143">
        <v>26689.1</v>
      </c>
      <c r="O24" s="143">
        <v>27901.5</v>
      </c>
      <c r="P24" s="144">
        <v>29027.7</v>
      </c>
      <c r="Q24" s="147">
        <v>30173</v>
      </c>
      <c r="R24" s="146">
        <v>31204.2</v>
      </c>
      <c r="S24" s="141">
        <v>32237.1</v>
      </c>
      <c r="T24" s="141">
        <v>33030.2</v>
      </c>
      <c r="U24" s="146">
        <v>33776.7</v>
      </c>
      <c r="V24" s="146">
        <v>34456.9</v>
      </c>
      <c r="W24" s="141"/>
      <c r="X24" s="167">
        <v>36733.2</v>
      </c>
      <c r="Z24" s="175">
        <v>36843.7</v>
      </c>
      <c r="AB24" s="134">
        <v>37318</v>
      </c>
      <c r="AD24" s="134">
        <v>38345.7197742312</v>
      </c>
      <c r="AF24" s="212">
        <v>39061.6163960566</v>
      </c>
      <c r="AG24" s="212">
        <v>39141.61639605665</v>
      </c>
      <c r="AH24" s="258">
        <f>AF24-AG24</f>
        <v>-80.00000000005093</v>
      </c>
      <c r="AJ24" s="212">
        <v>39635.52244897959</v>
      </c>
      <c r="AL24" s="134">
        <v>39879.86449026346</v>
      </c>
      <c r="AN24" s="272">
        <v>40051.7</v>
      </c>
      <c r="AP24" s="272">
        <v>40115.8</v>
      </c>
    </row>
    <row r="25" spans="1:42" ht="12.75">
      <c r="A25" s="133" t="s">
        <v>17</v>
      </c>
      <c r="B25" s="300">
        <v>4973.5</v>
      </c>
      <c r="C25" s="272">
        <v>4897.8</v>
      </c>
      <c r="D25" s="272">
        <v>4752.2</v>
      </c>
      <c r="E25" s="272">
        <v>4781.7</v>
      </c>
      <c r="F25" s="272">
        <v>4727</v>
      </c>
      <c r="G25" s="272">
        <v>4651.9</v>
      </c>
      <c r="H25" s="272">
        <v>4586.7</v>
      </c>
      <c r="I25" s="272">
        <v>4494.6</v>
      </c>
      <c r="J25" s="272">
        <v>4406.1</v>
      </c>
      <c r="K25" s="272">
        <v>4299.1</v>
      </c>
      <c r="L25" s="298">
        <f t="shared" si="2"/>
        <v>-2.428451465014412</v>
      </c>
      <c r="M25" s="298">
        <f>(K25-V25)*100/V25</f>
        <v>-15.131475047378395</v>
      </c>
      <c r="N25" s="143">
        <v>5060.9</v>
      </c>
      <c r="O25" s="143">
        <v>5047.8</v>
      </c>
      <c r="P25" s="144">
        <v>5070.8</v>
      </c>
      <c r="Q25" s="147">
        <v>5057.6</v>
      </c>
      <c r="R25" s="146">
        <v>5107.4</v>
      </c>
      <c r="S25" s="141">
        <v>5090.8</v>
      </c>
      <c r="T25" s="141">
        <v>5056.9</v>
      </c>
      <c r="U25" s="146">
        <v>5104.7</v>
      </c>
      <c r="V25" s="146">
        <v>5065.6</v>
      </c>
      <c r="W25" s="141"/>
      <c r="X25" s="167">
        <v>4897.8</v>
      </c>
      <c r="Z25" s="175">
        <v>4752.2</v>
      </c>
      <c r="AB25" s="134">
        <v>4781.7</v>
      </c>
      <c r="AD25" s="134">
        <v>4727</v>
      </c>
      <c r="AF25" s="212">
        <v>4651.9</v>
      </c>
      <c r="AG25" s="212">
        <v>4651.9</v>
      </c>
      <c r="AH25" s="258">
        <f>AF25-AG25</f>
        <v>0</v>
      </c>
      <c r="AJ25" s="212">
        <v>4586.7</v>
      </c>
      <c r="AL25" s="134">
        <v>4494.6</v>
      </c>
      <c r="AN25" s="272">
        <v>4406.1</v>
      </c>
      <c r="AP25" s="272">
        <v>4299.1</v>
      </c>
    </row>
    <row r="26" spans="1:42" ht="12.75">
      <c r="A26" s="133" t="s">
        <v>18</v>
      </c>
      <c r="B26" s="300">
        <v>37573.3</v>
      </c>
      <c r="C26" s="272">
        <v>37997.75</v>
      </c>
      <c r="D26" s="272">
        <v>40159.8</v>
      </c>
      <c r="E26" s="272">
        <v>40023.6</v>
      </c>
      <c r="F26" s="272">
        <v>38908.5310993976</v>
      </c>
      <c r="G26" s="272">
        <v>39555.29760282604</v>
      </c>
      <c r="H26" s="272">
        <v>38901.833037694014</v>
      </c>
      <c r="I26" s="272">
        <v>38941.5</v>
      </c>
      <c r="J26" s="272">
        <v>38544.1</v>
      </c>
      <c r="K26" s="272">
        <v>38564.2</v>
      </c>
      <c r="L26" s="298">
        <f t="shared" si="2"/>
        <v>0.05214805897659706</v>
      </c>
      <c r="M26" s="298">
        <f>(K26-V26)*100/V26</f>
        <v>3.261099493122462</v>
      </c>
      <c r="N26" s="143">
        <v>30999.9</v>
      </c>
      <c r="O26" s="143">
        <v>31830.2</v>
      </c>
      <c r="P26" s="144">
        <v>32926.1</v>
      </c>
      <c r="Q26" s="147">
        <v>33858.3</v>
      </c>
      <c r="R26" s="146">
        <v>35566.9</v>
      </c>
      <c r="S26" s="141">
        <v>35747.5</v>
      </c>
      <c r="T26" s="141">
        <v>36291.9</v>
      </c>
      <c r="U26" s="146">
        <v>37033.4</v>
      </c>
      <c r="V26" s="146">
        <v>37346.3</v>
      </c>
      <c r="W26" s="141"/>
      <c r="X26" s="167">
        <v>37997.75</v>
      </c>
      <c r="Z26" s="175">
        <v>40159.8</v>
      </c>
      <c r="AB26" s="134">
        <v>40023.6</v>
      </c>
      <c r="AD26" s="134">
        <v>38908.5310993976</v>
      </c>
      <c r="AF26" s="212">
        <v>39555.297602826</v>
      </c>
      <c r="AG26" s="212">
        <v>39555.29760282604</v>
      </c>
      <c r="AH26" s="258">
        <f>AF26-AG26</f>
        <v>0</v>
      </c>
      <c r="AJ26" s="212">
        <v>38901.833037694014</v>
      </c>
      <c r="AL26" s="134">
        <v>38941.5</v>
      </c>
      <c r="AN26" s="272">
        <v>38544.1</v>
      </c>
      <c r="AP26" s="272">
        <v>38564.2</v>
      </c>
    </row>
    <row r="27" spans="1:42" ht="12.75">
      <c r="A27" s="133" t="s">
        <v>19</v>
      </c>
      <c r="B27" s="300">
        <v>43335.7</v>
      </c>
      <c r="C27" s="272">
        <v>44438.25</v>
      </c>
      <c r="D27" s="272">
        <v>47278.1</v>
      </c>
      <c r="E27" s="272">
        <v>46203.8106882628</v>
      </c>
      <c r="F27" s="272">
        <v>46792.4290041651</v>
      </c>
      <c r="G27" s="272">
        <v>47642.330572130566</v>
      </c>
      <c r="H27" s="272">
        <v>48749.79559529465</v>
      </c>
      <c r="I27" s="272">
        <v>49693.9</v>
      </c>
      <c r="J27" s="272">
        <v>49455.450000000004</v>
      </c>
      <c r="K27" s="272">
        <v>50230.5</v>
      </c>
      <c r="L27" s="298">
        <f t="shared" si="2"/>
        <v>1.5671680269818504</v>
      </c>
      <c r="M27" s="298">
        <f>(K27-V27)*100/V27</f>
        <v>19.653121359882423</v>
      </c>
      <c r="N27" s="143">
        <v>30317.7</v>
      </c>
      <c r="O27" s="143">
        <v>31689.3</v>
      </c>
      <c r="P27" s="144">
        <v>33083.2</v>
      </c>
      <c r="Q27" s="147">
        <v>34776.3</v>
      </c>
      <c r="R27" s="146">
        <v>36124.2</v>
      </c>
      <c r="S27" s="141">
        <v>37461.5</v>
      </c>
      <c r="T27" s="141">
        <v>38788.7</v>
      </c>
      <c r="U27" s="146">
        <v>40212.1</v>
      </c>
      <c r="V27" s="146">
        <v>41980.1</v>
      </c>
      <c r="W27" s="141"/>
      <c r="X27" s="167">
        <v>44438.25</v>
      </c>
      <c r="Z27" s="175">
        <v>47278.1</v>
      </c>
      <c r="AB27" s="134">
        <v>46203.8106882628</v>
      </c>
      <c r="AD27" s="134">
        <v>46792.4290041651</v>
      </c>
      <c r="AF27" s="212">
        <v>47642.3305721306</v>
      </c>
      <c r="AG27" s="212">
        <v>47642.330572130566</v>
      </c>
      <c r="AH27" s="258">
        <f>AF27-AG27</f>
        <v>0</v>
      </c>
      <c r="AJ27" s="212">
        <v>48749.79559529465</v>
      </c>
      <c r="AL27" s="134">
        <v>49693.9</v>
      </c>
      <c r="AN27" s="272">
        <v>49455.450000000004</v>
      </c>
      <c r="AP27" s="272">
        <v>50230.5</v>
      </c>
    </row>
    <row r="28" spans="1:42" ht="12.75">
      <c r="A28" s="133" t="s">
        <v>20</v>
      </c>
      <c r="B28" s="300">
        <v>2588.6</v>
      </c>
      <c r="C28" s="272">
        <v>2603.6</v>
      </c>
      <c r="D28" s="272">
        <v>2536.8</v>
      </c>
      <c r="E28" s="272">
        <v>2471.74193548387</v>
      </c>
      <c r="F28" s="272">
        <v>2430.71727825426</v>
      </c>
      <c r="G28" s="272">
        <v>2383.3346153846155</v>
      </c>
      <c r="H28" s="272">
        <v>2280.1507692307696</v>
      </c>
      <c r="I28" s="272">
        <v>2217.4411764705883</v>
      </c>
      <c r="J28" s="272">
        <v>2134.3746376811596</v>
      </c>
      <c r="K28" s="272">
        <v>2138.2491935483868</v>
      </c>
      <c r="L28" s="298">
        <f t="shared" si="2"/>
        <v>0.18153119882630311</v>
      </c>
      <c r="M28" s="298">
        <f>(K28-V28)*100/V28</f>
        <v>-20.89640806672388</v>
      </c>
      <c r="N28" s="143">
        <v>2438.3</v>
      </c>
      <c r="O28" s="143">
        <v>2461.3</v>
      </c>
      <c r="P28" s="144">
        <v>2534.8</v>
      </c>
      <c r="Q28" s="147">
        <v>2603.4</v>
      </c>
      <c r="R28" s="146">
        <v>2651.4</v>
      </c>
      <c r="S28" s="141">
        <v>2717.7</v>
      </c>
      <c r="T28" s="141">
        <v>2693.9</v>
      </c>
      <c r="U28" s="146">
        <v>2670.3</v>
      </c>
      <c r="V28" s="146">
        <v>2703.1</v>
      </c>
      <c r="W28" s="141"/>
      <c r="X28" s="167">
        <v>2603.6</v>
      </c>
      <c r="Z28" s="175">
        <v>2536.8</v>
      </c>
      <c r="AB28" s="134">
        <v>2471.74193548387</v>
      </c>
      <c r="AD28" s="134">
        <v>2430.71727825426</v>
      </c>
      <c r="AF28" s="212">
        <v>2383.33461538462</v>
      </c>
      <c r="AG28" s="212">
        <v>2383.3346153846155</v>
      </c>
      <c r="AH28" s="258">
        <f>AF28-AG28</f>
        <v>4.547473508864641E-12</v>
      </c>
      <c r="AJ28" s="212">
        <v>2280.1507692307696</v>
      </c>
      <c r="AL28" s="134">
        <v>2217.4411764705883</v>
      </c>
      <c r="AN28" s="272">
        <v>2134.3746376811596</v>
      </c>
      <c r="AP28" s="272">
        <v>2138.2491935483868</v>
      </c>
    </row>
    <row r="29" spans="1:42" ht="12.75">
      <c r="A29" s="133"/>
      <c r="B29" s="300"/>
      <c r="C29" s="272"/>
      <c r="D29" s="272"/>
      <c r="E29" s="272"/>
      <c r="F29" s="272"/>
      <c r="G29" s="272"/>
      <c r="H29" s="272"/>
      <c r="I29" s="272"/>
      <c r="J29" s="272"/>
      <c r="K29" s="272"/>
      <c r="L29" s="298"/>
      <c r="M29" s="298"/>
      <c r="N29" s="143"/>
      <c r="O29" s="143"/>
      <c r="P29" s="148"/>
      <c r="Q29" s="137"/>
      <c r="R29" s="146"/>
      <c r="S29" s="141"/>
      <c r="T29" s="141"/>
      <c r="U29" s="146"/>
      <c r="V29" s="146"/>
      <c r="W29" s="141"/>
      <c r="X29" s="167"/>
      <c r="Z29" s="175"/>
      <c r="AG29" s="212"/>
      <c r="AJ29" s="212"/>
      <c r="AN29" s="272"/>
      <c r="AP29" s="272"/>
    </row>
    <row r="30" spans="1:42" ht="12.75">
      <c r="A30" s="133" t="s">
        <v>21</v>
      </c>
      <c r="B30" s="300">
        <v>129156.8</v>
      </c>
      <c r="C30" s="272">
        <v>132649.7</v>
      </c>
      <c r="D30" s="272">
        <v>135283.3</v>
      </c>
      <c r="E30" s="272">
        <v>135460.440432925</v>
      </c>
      <c r="F30" s="272">
        <v>136302.781108993</v>
      </c>
      <c r="G30" s="272">
        <v>136684.875240531</v>
      </c>
      <c r="H30" s="272">
        <v>136227.32912124216</v>
      </c>
      <c r="I30" s="272">
        <v>136631.46331254105</v>
      </c>
      <c r="J30" s="272">
        <v>138439.58645405745</v>
      </c>
      <c r="K30" s="272">
        <v>140579.19743140688</v>
      </c>
      <c r="L30" s="298">
        <f t="shared" si="2"/>
        <v>1.5455196249516936</v>
      </c>
      <c r="M30" s="298">
        <f>(K30-V30)*100/V30</f>
        <v>11.568843584800012</v>
      </c>
      <c r="N30" s="143">
        <v>103486.9</v>
      </c>
      <c r="O30" s="143">
        <v>104754.2</v>
      </c>
      <c r="P30" s="144">
        <v>108223.2</v>
      </c>
      <c r="Q30" s="147">
        <v>111424.8</v>
      </c>
      <c r="R30" s="146">
        <v>114453.2</v>
      </c>
      <c r="S30" s="141">
        <v>117250.6</v>
      </c>
      <c r="T30" s="141">
        <v>119843.4</v>
      </c>
      <c r="U30" s="146">
        <v>123025.6</v>
      </c>
      <c r="V30" s="146">
        <v>126002.2</v>
      </c>
      <c r="W30" s="141"/>
      <c r="X30" s="167">
        <v>132649.7</v>
      </c>
      <c r="Z30" s="175">
        <v>135283.3</v>
      </c>
      <c r="AB30" s="134">
        <v>135460.440432925</v>
      </c>
      <c r="AD30" s="134">
        <v>136302.781108993</v>
      </c>
      <c r="AF30" s="212">
        <v>135707.546336877</v>
      </c>
      <c r="AG30" s="212">
        <v>136684.875240531</v>
      </c>
      <c r="AH30" s="258">
        <f>AF30-AG30</f>
        <v>-977.3289036539791</v>
      </c>
      <c r="AJ30" s="212">
        <v>136227.32912124216</v>
      </c>
      <c r="AL30" s="134">
        <v>136631.46331254105</v>
      </c>
      <c r="AN30" s="272">
        <v>138439.58645405745</v>
      </c>
      <c r="AP30" s="272">
        <v>140579.19743140688</v>
      </c>
    </row>
    <row r="31" spans="1:42" ht="12.75">
      <c r="A31" s="133" t="s">
        <v>22</v>
      </c>
      <c r="B31" s="300">
        <v>131775</v>
      </c>
      <c r="C31" s="272">
        <v>132820.6</v>
      </c>
      <c r="D31" s="272">
        <v>134444.7</v>
      </c>
      <c r="E31" s="272">
        <v>134731.186212206</v>
      </c>
      <c r="F31" s="272">
        <v>132379.765304317</v>
      </c>
      <c r="G31" s="272">
        <v>131493.36262667205</v>
      </c>
      <c r="H31" s="272">
        <v>128731.39305802777</v>
      </c>
      <c r="I31" s="272">
        <v>128679.8288554217</v>
      </c>
      <c r="J31" s="272">
        <v>127546.21064124783</v>
      </c>
      <c r="K31" s="272">
        <v>126109.17809089427</v>
      </c>
      <c r="L31" s="298">
        <f t="shared" si="2"/>
        <v>-1.1266760048211322</v>
      </c>
      <c r="M31" s="298">
        <f>(K31-V31)*100/V31</f>
        <v>-0.8058617888928918</v>
      </c>
      <c r="N31" s="143">
        <v>107289.9</v>
      </c>
      <c r="O31" s="143">
        <v>108783.7</v>
      </c>
      <c r="P31" s="144">
        <v>111497.8</v>
      </c>
      <c r="Q31" s="147">
        <v>113702.3</v>
      </c>
      <c r="R31" s="146">
        <v>117323.1</v>
      </c>
      <c r="S31" s="141">
        <v>120682.3</v>
      </c>
      <c r="T31" s="141">
        <v>123994.2</v>
      </c>
      <c r="U31" s="146">
        <v>125693.9</v>
      </c>
      <c r="V31" s="146">
        <v>127133.7</v>
      </c>
      <c r="W31" s="141"/>
      <c r="X31" s="167">
        <v>132820.6</v>
      </c>
      <c r="Z31" s="175">
        <v>134444.7</v>
      </c>
      <c r="AB31" s="134">
        <v>134731.186212206</v>
      </c>
      <c r="AD31" s="134">
        <v>132379.765304317</v>
      </c>
      <c r="AF31" s="212">
        <v>133631.712626672</v>
      </c>
      <c r="AG31" s="212">
        <v>131493.36262667205</v>
      </c>
      <c r="AH31" s="258">
        <f>AF31-AG31</f>
        <v>2138.3499999999476</v>
      </c>
      <c r="AJ31" s="212">
        <v>128731.39305802777</v>
      </c>
      <c r="AL31" s="134">
        <v>128679.8288554217</v>
      </c>
      <c r="AN31" s="272">
        <v>127546.21064124783</v>
      </c>
      <c r="AP31" s="272">
        <v>126109.17809089427</v>
      </c>
    </row>
    <row r="32" spans="1:42" ht="12.75">
      <c r="A32" s="133" t="s">
        <v>23</v>
      </c>
      <c r="B32" s="300">
        <v>6826.4</v>
      </c>
      <c r="C32" s="272">
        <v>6899.9</v>
      </c>
      <c r="D32" s="272">
        <v>7149.8</v>
      </c>
      <c r="E32" s="272">
        <v>7199.69307692308</v>
      </c>
      <c r="F32" s="272">
        <v>7343.62923228346</v>
      </c>
      <c r="G32" s="272">
        <v>7491.858585858586</v>
      </c>
      <c r="H32" s="272">
        <v>7593.65</v>
      </c>
      <c r="I32" s="272">
        <v>7621.4</v>
      </c>
      <c r="J32" s="272">
        <v>7629.599999999999</v>
      </c>
      <c r="K32" s="272">
        <v>7620.650889679715</v>
      </c>
      <c r="L32" s="298">
        <f t="shared" si="2"/>
        <v>-0.11729461990516528</v>
      </c>
      <c r="M32" s="298">
        <f>(K32-V32)*100/V32</f>
        <v>14.374384872648777</v>
      </c>
      <c r="N32" s="143">
        <v>5235.8</v>
      </c>
      <c r="O32" s="143">
        <v>5433.9</v>
      </c>
      <c r="P32" s="144">
        <v>5521.6</v>
      </c>
      <c r="Q32" s="147">
        <v>5673.5</v>
      </c>
      <c r="R32" s="146">
        <v>5911.3</v>
      </c>
      <c r="S32" s="141">
        <v>6024.1</v>
      </c>
      <c r="T32" s="141">
        <v>6220.1</v>
      </c>
      <c r="U32" s="146">
        <v>6490.2</v>
      </c>
      <c r="V32" s="146">
        <v>6662.9</v>
      </c>
      <c r="W32" s="141"/>
      <c r="X32" s="167">
        <v>6899.9</v>
      </c>
      <c r="Z32" s="175">
        <v>7149.8</v>
      </c>
      <c r="AB32" s="134">
        <v>7199.69307692308</v>
      </c>
      <c r="AD32" s="134">
        <v>7343.62923228346</v>
      </c>
      <c r="AF32" s="212">
        <v>7491.85858585859</v>
      </c>
      <c r="AG32" s="212">
        <v>7491.858585858586</v>
      </c>
      <c r="AH32" s="258">
        <f>AF32-AG32</f>
        <v>0</v>
      </c>
      <c r="AJ32" s="212">
        <v>7593.65</v>
      </c>
      <c r="AL32" s="134">
        <v>7621.4</v>
      </c>
      <c r="AN32" s="272">
        <v>7629.599999999999</v>
      </c>
      <c r="AP32" s="272">
        <v>7620.650889679715</v>
      </c>
    </row>
    <row r="33" spans="1:42" ht="12.75">
      <c r="A33" s="133" t="s">
        <v>24</v>
      </c>
      <c r="B33" s="300">
        <v>14319.2</v>
      </c>
      <c r="C33" s="272">
        <v>14544.1</v>
      </c>
      <c r="D33" s="272">
        <v>15180.8</v>
      </c>
      <c r="E33" s="272">
        <v>15522.6071428571</v>
      </c>
      <c r="F33" s="272">
        <v>15355.7982126058</v>
      </c>
      <c r="G33" s="272">
        <v>16026.227586206895</v>
      </c>
      <c r="H33" s="272">
        <v>16192.25</v>
      </c>
      <c r="I33" s="272">
        <v>16396.85</v>
      </c>
      <c r="J33" s="272">
        <v>16721.4</v>
      </c>
      <c r="K33" s="272">
        <v>16661.95</v>
      </c>
      <c r="L33" s="298">
        <f t="shared" si="2"/>
        <v>-0.3555324314949748</v>
      </c>
      <c r="M33" s="298">
        <f>(K33-V33)*100/V33</f>
        <v>18.26631649927246</v>
      </c>
      <c r="N33" s="143">
        <v>12098.5</v>
      </c>
      <c r="O33" s="143">
        <v>12022.6</v>
      </c>
      <c r="P33" s="144">
        <v>12103</v>
      </c>
      <c r="Q33" s="147">
        <v>12460.3</v>
      </c>
      <c r="R33" s="146">
        <v>12950.4</v>
      </c>
      <c r="S33" s="141">
        <v>13343.1</v>
      </c>
      <c r="T33" s="141">
        <v>13784.5</v>
      </c>
      <c r="U33" s="146">
        <v>13947.4</v>
      </c>
      <c r="V33" s="146">
        <v>14088.5</v>
      </c>
      <c r="W33" s="141"/>
      <c r="X33" s="167">
        <v>14544.1</v>
      </c>
      <c r="Z33" s="175">
        <v>15180.8</v>
      </c>
      <c r="AB33" s="134">
        <v>15522.6071428571</v>
      </c>
      <c r="AD33" s="134">
        <v>15355.7982126058</v>
      </c>
      <c r="AF33" s="212">
        <v>16026.2275862069</v>
      </c>
      <c r="AG33" s="212">
        <v>16026.227586206895</v>
      </c>
      <c r="AH33" s="258">
        <f>AF33-AG33</f>
        <v>0</v>
      </c>
      <c r="AJ33" s="212">
        <v>16192.25</v>
      </c>
      <c r="AL33" s="134">
        <v>16396.85</v>
      </c>
      <c r="AN33" s="272">
        <v>16721.4</v>
      </c>
      <c r="AP33" s="272">
        <v>16661.95</v>
      </c>
    </row>
    <row r="34" spans="1:42" ht="12.75">
      <c r="A34" s="133" t="s">
        <v>25</v>
      </c>
      <c r="B34" s="300">
        <v>2903.4</v>
      </c>
      <c r="C34" s="272">
        <v>2855.4</v>
      </c>
      <c r="D34" s="272">
        <v>2816.1</v>
      </c>
      <c r="E34" s="272">
        <v>2814.49328358209</v>
      </c>
      <c r="F34" s="272">
        <v>2827.09857819905</v>
      </c>
      <c r="G34" s="272">
        <v>2788.35</v>
      </c>
      <c r="H34" s="272">
        <v>2821.75</v>
      </c>
      <c r="I34" s="272">
        <v>2776.644034090909</v>
      </c>
      <c r="J34" s="272">
        <v>2772.7000000000003</v>
      </c>
      <c r="K34" s="272">
        <v>2782.6</v>
      </c>
      <c r="L34" s="298">
        <f t="shared" si="2"/>
        <v>0.3570526923215507</v>
      </c>
      <c r="M34" s="298">
        <f>(K34-V34)*100/V34</f>
        <v>-5.166655306386747</v>
      </c>
      <c r="N34" s="143">
        <v>3360</v>
      </c>
      <c r="O34" s="143">
        <v>3369</v>
      </c>
      <c r="P34" s="144">
        <v>3326.6</v>
      </c>
      <c r="Q34" s="147">
        <v>3275.3</v>
      </c>
      <c r="R34" s="146">
        <v>3070</v>
      </c>
      <c r="S34" s="141">
        <v>3070.8</v>
      </c>
      <c r="T34" s="141">
        <v>2950.6</v>
      </c>
      <c r="U34" s="146">
        <v>2936.8</v>
      </c>
      <c r="V34" s="146">
        <v>2934.2</v>
      </c>
      <c r="W34" s="141"/>
      <c r="X34" s="167">
        <v>2855.4</v>
      </c>
      <c r="Z34" s="175">
        <v>2816.1</v>
      </c>
      <c r="AB34" s="134">
        <v>2814.49328358209</v>
      </c>
      <c r="AD34" s="134">
        <v>2827.09857819905</v>
      </c>
      <c r="AF34" s="212">
        <v>2788.35</v>
      </c>
      <c r="AG34" s="212">
        <v>2788.35</v>
      </c>
      <c r="AH34" s="258">
        <f>AF34-AG34</f>
        <v>0</v>
      </c>
      <c r="AJ34" s="212">
        <v>2821.75</v>
      </c>
      <c r="AL34" s="134">
        <v>2776.644034090909</v>
      </c>
      <c r="AN34" s="272">
        <v>2772.7000000000003</v>
      </c>
      <c r="AP34" s="272">
        <v>2782.6</v>
      </c>
    </row>
    <row r="35" spans="1:42" ht="12.75">
      <c r="A35" s="133"/>
      <c r="B35" s="300"/>
      <c r="C35" s="272"/>
      <c r="D35" s="272"/>
      <c r="E35" s="272"/>
      <c r="F35" s="272"/>
      <c r="G35" s="272"/>
      <c r="H35" s="272"/>
      <c r="I35" s="272"/>
      <c r="J35" s="272"/>
      <c r="K35" s="272"/>
      <c r="L35" s="298"/>
      <c r="M35" s="298"/>
      <c r="N35" s="143"/>
      <c r="O35" s="143"/>
      <c r="P35" s="148"/>
      <c r="Q35" s="147"/>
      <c r="R35" s="146"/>
      <c r="S35" s="146"/>
      <c r="T35" s="141"/>
      <c r="U35" s="146"/>
      <c r="V35" s="146"/>
      <c r="W35" s="146"/>
      <c r="X35" s="167"/>
      <c r="Z35" s="175"/>
      <c r="AG35" s="212"/>
      <c r="AJ35" s="212"/>
      <c r="AN35" s="272"/>
      <c r="AP35" s="272"/>
    </row>
    <row r="36" spans="1:42" ht="12.75">
      <c r="A36" s="133" t="s">
        <v>26</v>
      </c>
      <c r="B36" s="300">
        <v>4387.3</v>
      </c>
      <c r="C36" s="272">
        <v>4393.4</v>
      </c>
      <c r="D36" s="272">
        <v>4381</v>
      </c>
      <c r="E36" s="272">
        <v>4359.6</v>
      </c>
      <c r="F36" s="272">
        <v>4402.25</v>
      </c>
      <c r="G36" s="272">
        <v>4347.3</v>
      </c>
      <c r="H36" s="272">
        <v>4293.7</v>
      </c>
      <c r="I36" s="272">
        <v>4309.65</v>
      </c>
      <c r="J36" s="272">
        <v>4330.3</v>
      </c>
      <c r="K36" s="272">
        <v>4376.25</v>
      </c>
      <c r="L36" s="298">
        <f t="shared" si="2"/>
        <v>1.0611274045678085</v>
      </c>
      <c r="M36" s="298">
        <f>(K36-V36)*100/V36</f>
        <v>0.10636837771066968</v>
      </c>
      <c r="N36" s="143">
        <v>3951</v>
      </c>
      <c r="O36" s="143">
        <v>3984.3</v>
      </c>
      <c r="P36" s="144">
        <v>4030.2</v>
      </c>
      <c r="Q36" s="147">
        <v>4102.5</v>
      </c>
      <c r="R36" s="146">
        <v>4150.4</v>
      </c>
      <c r="S36" s="141">
        <v>4201.2</v>
      </c>
      <c r="T36" s="141">
        <v>4308.2</v>
      </c>
      <c r="U36" s="146">
        <v>4327</v>
      </c>
      <c r="V36" s="146">
        <v>4371.6</v>
      </c>
      <c r="W36" s="141"/>
      <c r="X36" s="167">
        <v>4393.4</v>
      </c>
      <c r="Z36" s="175">
        <v>4381</v>
      </c>
      <c r="AB36" s="134">
        <v>4359.6</v>
      </c>
      <c r="AD36" s="134">
        <v>4402.25</v>
      </c>
      <c r="AF36" s="212">
        <v>4347.3</v>
      </c>
      <c r="AG36" s="212">
        <v>4347.3</v>
      </c>
      <c r="AH36" s="258">
        <f>AF36-AG36</f>
        <v>0</v>
      </c>
      <c r="AJ36" s="212">
        <v>4293.7</v>
      </c>
      <c r="AL36" s="134">
        <v>4309.65</v>
      </c>
      <c r="AN36" s="272">
        <v>4330.3</v>
      </c>
      <c r="AP36" s="272">
        <v>4376.25</v>
      </c>
    </row>
    <row r="37" spans="1:42" ht="12.75">
      <c r="A37" s="133" t="s">
        <v>27</v>
      </c>
      <c r="B37" s="300">
        <v>18920.8</v>
      </c>
      <c r="C37" s="272">
        <v>18883</v>
      </c>
      <c r="D37" s="272">
        <v>19058.7</v>
      </c>
      <c r="E37" s="272">
        <v>19634.1318796179</v>
      </c>
      <c r="F37" s="272">
        <v>20252.2004653313</v>
      </c>
      <c r="G37" s="272">
        <v>20726.934259259262</v>
      </c>
      <c r="H37" s="272">
        <v>21200.180538745462</v>
      </c>
      <c r="I37" s="272">
        <v>21398.512401574804</v>
      </c>
      <c r="J37" s="272">
        <v>21553.007036247334</v>
      </c>
      <c r="K37" s="272">
        <v>21728.804098360655</v>
      </c>
      <c r="L37" s="298">
        <f t="shared" si="2"/>
        <v>0.8156498154418524</v>
      </c>
      <c r="M37" s="298">
        <f>(K37-V37)*100/V37</f>
        <v>14.315798851837172</v>
      </c>
      <c r="N37" s="143">
        <v>17158.2</v>
      </c>
      <c r="O37" s="143">
        <v>17679</v>
      </c>
      <c r="P37" s="144">
        <v>18128.1</v>
      </c>
      <c r="Q37" s="147">
        <v>18474.4</v>
      </c>
      <c r="R37" s="146">
        <v>18644.8</v>
      </c>
      <c r="S37" s="141">
        <v>18751.2</v>
      </c>
      <c r="T37" s="141">
        <v>18885.9</v>
      </c>
      <c r="U37" s="146">
        <v>18991.4</v>
      </c>
      <c r="V37" s="146">
        <v>19007.7</v>
      </c>
      <c r="W37" s="141"/>
      <c r="X37" s="167">
        <v>18883</v>
      </c>
      <c r="Z37" s="175">
        <v>19058.7</v>
      </c>
      <c r="AB37" s="134">
        <v>19634.1318796179</v>
      </c>
      <c r="AD37" s="134">
        <v>20252.2004653313</v>
      </c>
      <c r="AF37" s="212">
        <v>20726.9342592593</v>
      </c>
      <c r="AG37" s="212">
        <v>20726.934259259262</v>
      </c>
      <c r="AH37" s="258">
        <f>AF37-AG37</f>
        <v>3.637978807091713E-11</v>
      </c>
      <c r="AJ37" s="212">
        <v>21200.180538745462</v>
      </c>
      <c r="AL37" s="134">
        <v>21398.512401574804</v>
      </c>
      <c r="AN37" s="272">
        <v>21553.007036247334</v>
      </c>
      <c r="AP37" s="272">
        <v>21728.804098360655</v>
      </c>
    </row>
    <row r="38" spans="1:42" ht="12.75">
      <c r="A38" s="133" t="s">
        <v>28</v>
      </c>
      <c r="B38" s="300">
        <v>13380.4</v>
      </c>
      <c r="C38" s="272">
        <v>13397.9</v>
      </c>
      <c r="D38" s="272">
        <v>13574.2</v>
      </c>
      <c r="E38" s="272">
        <v>14026.9938987166</v>
      </c>
      <c r="F38" s="272">
        <v>14130.9732251521</v>
      </c>
      <c r="G38" s="272">
        <v>14218.46820083682</v>
      </c>
      <c r="H38" s="272">
        <v>14187.949202733485</v>
      </c>
      <c r="I38" s="272">
        <v>14146.337991266375</v>
      </c>
      <c r="J38" s="272">
        <v>14379.909846827135</v>
      </c>
      <c r="K38" s="272">
        <v>14310.395238095238</v>
      </c>
      <c r="L38" s="298">
        <f t="shared" si="2"/>
        <v>-0.4834147743091398</v>
      </c>
      <c r="M38" s="298">
        <f>(K38-V38)*100/V38</f>
        <v>4.948005882318011</v>
      </c>
      <c r="N38" s="143">
        <v>12408.5</v>
      </c>
      <c r="O38" s="143">
        <v>12600.1</v>
      </c>
      <c r="P38" s="144">
        <v>12772.5</v>
      </c>
      <c r="Q38" s="147">
        <v>12891.9</v>
      </c>
      <c r="R38" s="146">
        <v>13091.2</v>
      </c>
      <c r="S38" s="141">
        <v>13148.7</v>
      </c>
      <c r="T38" s="141">
        <v>13414.1</v>
      </c>
      <c r="U38" s="146">
        <v>13501.5</v>
      </c>
      <c r="V38" s="146">
        <v>13635.7</v>
      </c>
      <c r="W38" s="141"/>
      <c r="X38" s="167">
        <v>13397.9</v>
      </c>
      <c r="Z38" s="175">
        <v>13574.2</v>
      </c>
      <c r="AB38" s="134">
        <v>14026.9938987166</v>
      </c>
      <c r="AD38" s="134">
        <v>14130.9732251521</v>
      </c>
      <c r="AF38" s="212">
        <v>14218.4682008368</v>
      </c>
      <c r="AG38" s="212">
        <v>14218.46820083682</v>
      </c>
      <c r="AH38" s="258">
        <f>AF38-AG38</f>
        <v>-2.000888343900442E-11</v>
      </c>
      <c r="AJ38" s="212">
        <v>14187.949202733485</v>
      </c>
      <c r="AL38" s="134">
        <v>14146.337991266375</v>
      </c>
      <c r="AN38" s="272">
        <v>14379.909846827135</v>
      </c>
      <c r="AP38" s="272">
        <v>14310.395238095238</v>
      </c>
    </row>
    <row r="39" spans="1:42" ht="12.75">
      <c r="A39" s="149" t="s">
        <v>29</v>
      </c>
      <c r="B39" s="302">
        <v>6453.3</v>
      </c>
      <c r="C39" s="275">
        <v>6367</v>
      </c>
      <c r="D39" s="275">
        <v>6087.2</v>
      </c>
      <c r="E39" s="275">
        <v>6479.06738035265</v>
      </c>
      <c r="F39" s="275">
        <v>6612.84666666667</v>
      </c>
      <c r="G39" s="275">
        <v>6588.95</v>
      </c>
      <c r="H39" s="275">
        <v>6644.360610465116</v>
      </c>
      <c r="I39" s="275">
        <v>6528.1</v>
      </c>
      <c r="J39" s="275">
        <v>6478.3</v>
      </c>
      <c r="K39" s="275">
        <v>6449.25</v>
      </c>
      <c r="L39" s="303">
        <f t="shared" si="2"/>
        <v>-0.44842011021410216</v>
      </c>
      <c r="M39" s="303">
        <f>(K39-V39)*100/V39</f>
        <v>-1.2698631395242004</v>
      </c>
      <c r="N39" s="150">
        <v>5559.3</v>
      </c>
      <c r="O39" s="150">
        <v>5689.6</v>
      </c>
      <c r="P39" s="151">
        <v>5807.9</v>
      </c>
      <c r="Q39" s="152">
        <v>6081.1</v>
      </c>
      <c r="R39" s="153">
        <v>6245.1</v>
      </c>
      <c r="S39" s="154">
        <v>6420</v>
      </c>
      <c r="T39" s="154">
        <v>6462.4</v>
      </c>
      <c r="U39" s="153">
        <v>6549.9</v>
      </c>
      <c r="V39" s="153">
        <v>6532.2</v>
      </c>
      <c r="W39" s="154"/>
      <c r="X39" s="169">
        <v>6367</v>
      </c>
      <c r="Z39" s="175">
        <v>6087.2</v>
      </c>
      <c r="AB39" s="134">
        <v>6479.06738035265</v>
      </c>
      <c r="AD39" s="134">
        <v>6612.84666666667</v>
      </c>
      <c r="AF39" s="212">
        <v>6588.95</v>
      </c>
      <c r="AG39" s="212">
        <v>6588.95</v>
      </c>
      <c r="AH39" s="258">
        <f>AF39-AG39</f>
        <v>0</v>
      </c>
      <c r="AJ39" s="212">
        <v>6644.360610465116</v>
      </c>
      <c r="AL39" s="134">
        <v>6528.1</v>
      </c>
      <c r="AN39" s="275">
        <v>6478.3</v>
      </c>
      <c r="AP39" s="275">
        <v>6449.25</v>
      </c>
    </row>
    <row r="40" spans="1:18" ht="12.75">
      <c r="A40" s="171" t="s">
        <v>303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R40" s="137"/>
    </row>
    <row r="41" spans="2:18" ht="12.75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R41" s="137"/>
    </row>
    <row r="42" spans="2:18" ht="12.75">
      <c r="B42" s="146"/>
      <c r="C42" s="146"/>
      <c r="D42" s="146"/>
      <c r="E42" s="179"/>
      <c r="F42" s="148"/>
      <c r="G42" s="148"/>
      <c r="H42" s="148"/>
      <c r="I42" s="148"/>
      <c r="J42" s="148"/>
      <c r="K42" s="148"/>
      <c r="L42" s="137"/>
      <c r="M42" s="137"/>
      <c r="N42" s="137"/>
      <c r="O42" s="137"/>
      <c r="R42" s="146"/>
    </row>
    <row r="43" spans="2:18" ht="12.75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R43" s="137"/>
    </row>
    <row r="44" spans="2:18" ht="12.75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R44" s="137"/>
    </row>
    <row r="45" spans="2:18" ht="12.75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R45" s="137"/>
    </row>
    <row r="46" spans="2:18" ht="12.75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R46" s="137"/>
    </row>
    <row r="47" spans="2:18" ht="12.75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R47" s="137"/>
    </row>
    <row r="48" spans="2:18" ht="12.75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R48" s="137"/>
    </row>
    <row r="49" spans="2:18" ht="12.75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R49" s="137"/>
    </row>
    <row r="50" spans="2:18" ht="12.75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R50" s="137"/>
    </row>
    <row r="51" spans="2:18" ht="12.75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R51" s="137"/>
    </row>
    <row r="52" spans="2:18" ht="12.75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R52" s="137"/>
    </row>
    <row r="53" spans="2:18" ht="12.75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R53" s="137"/>
    </row>
    <row r="54" spans="2:18" ht="12.75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R54" s="137"/>
    </row>
    <row r="55" spans="2:18" ht="12.75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R55" s="137"/>
    </row>
    <row r="56" spans="2:18" ht="12.75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R56" s="137"/>
    </row>
    <row r="57" spans="2:18" ht="12.75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R57" s="137"/>
    </row>
    <row r="58" spans="2:18" ht="12.75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R58" s="137"/>
    </row>
    <row r="59" spans="2:18" ht="12.75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R59" s="137"/>
    </row>
    <row r="60" spans="2:18" ht="12.75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R60" s="137"/>
    </row>
    <row r="61" spans="2:18" ht="12.75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R61" s="137"/>
    </row>
    <row r="62" spans="2:18" ht="12.75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R62" s="137"/>
    </row>
    <row r="63" spans="2:18" ht="12.75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R63" s="137"/>
    </row>
    <row r="64" spans="2:18" ht="12.75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R64" s="137"/>
    </row>
    <row r="65" spans="2:18" ht="12.75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R65" s="137"/>
    </row>
    <row r="66" spans="2:18" ht="12.75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R66" s="137"/>
    </row>
    <row r="67" spans="2:18" ht="12.75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R67" s="137"/>
    </row>
    <row r="68" spans="2:18" ht="12.75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R68" s="137"/>
    </row>
    <row r="69" spans="2:18" ht="12.75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R69" s="137"/>
    </row>
    <row r="70" spans="2:18" ht="12.75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R70" s="137"/>
    </row>
    <row r="71" spans="2:18" ht="12.75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R71" s="137"/>
    </row>
    <row r="72" spans="2:18" ht="12.75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R72" s="137"/>
    </row>
    <row r="73" spans="2:18" ht="12.75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R73" s="137"/>
    </row>
    <row r="74" spans="2:18" ht="12.75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R74" s="137"/>
    </row>
    <row r="75" spans="2:18" ht="12.75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R75" s="137"/>
    </row>
    <row r="76" spans="2:18" ht="12.75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R76" s="137"/>
    </row>
    <row r="77" spans="2:18" ht="12.75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R77" s="137"/>
    </row>
    <row r="78" spans="2:18" ht="12.75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R78" s="137"/>
    </row>
    <row r="79" spans="2:18" ht="12.75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R79" s="137"/>
    </row>
    <row r="80" spans="2:18" ht="12.75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R80" s="137"/>
    </row>
    <row r="81" spans="2:18" ht="12.75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R81" s="137"/>
    </row>
    <row r="82" spans="2:18" ht="12.75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R82" s="137"/>
    </row>
    <row r="83" spans="2:18" ht="12.75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R83" s="137"/>
    </row>
    <row r="84" spans="2:18" ht="12.75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R84" s="137"/>
    </row>
    <row r="85" spans="2:18" ht="12.75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R85" s="137"/>
    </row>
    <row r="86" spans="2:18" ht="12.75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R86" s="137"/>
    </row>
    <row r="87" spans="2:18" ht="12.75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R87" s="137"/>
    </row>
    <row r="88" spans="2:18" ht="12.75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R88" s="137"/>
    </row>
    <row r="89" spans="2:18" ht="12.75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R89" s="137"/>
    </row>
    <row r="90" spans="2:18" ht="12.75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R90" s="137"/>
    </row>
    <row r="91" spans="2:18" ht="12.75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R91" s="137"/>
    </row>
    <row r="92" spans="2:18" ht="12.75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R92" s="137"/>
    </row>
    <row r="93" spans="2:18" ht="12.75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R93" s="137"/>
    </row>
    <row r="94" spans="2:18" ht="12.75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R94" s="137"/>
    </row>
    <row r="95" spans="2:18" ht="12.75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R95" s="137"/>
    </row>
    <row r="96" spans="2:18" ht="12.75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R96" s="137"/>
    </row>
    <row r="97" spans="2:18" ht="12.75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R97" s="137"/>
    </row>
    <row r="98" spans="2:18" ht="12.75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R98" s="137"/>
    </row>
    <row r="99" spans="2:18" ht="12.75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R99" s="137"/>
    </row>
    <row r="100" spans="2:18" ht="12.75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R100" s="137"/>
    </row>
    <row r="101" spans="2:18" ht="12.75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R101" s="137"/>
    </row>
    <row r="102" spans="2:18" ht="12.75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R102" s="137"/>
    </row>
    <row r="103" spans="2:18" ht="12.75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R103" s="137"/>
    </row>
    <row r="104" spans="2:18" ht="12.75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R104" s="137"/>
    </row>
    <row r="105" spans="2:18" ht="12.75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R105" s="137"/>
    </row>
    <row r="106" spans="2:18" ht="12.75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R106" s="137"/>
    </row>
    <row r="107" spans="2:18" ht="12.75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R107" s="137"/>
    </row>
    <row r="108" spans="2:18" ht="12.75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R108" s="137"/>
    </row>
    <row r="109" spans="2:18" ht="12.75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R109" s="137"/>
    </row>
    <row r="110" spans="2:18" ht="12.75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R110" s="137"/>
    </row>
    <row r="111" spans="2:18" ht="12.75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R111" s="137"/>
    </row>
    <row r="112" spans="2:18" ht="12.75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R112" s="137"/>
    </row>
    <row r="113" spans="2:18" ht="12.75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R113" s="137"/>
    </row>
    <row r="114" spans="2:18" ht="12.75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R114" s="137"/>
    </row>
    <row r="115" spans="2:18" ht="12.75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R115" s="137"/>
    </row>
    <row r="116" spans="2:18" ht="12.75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R116" s="137"/>
    </row>
    <row r="117" spans="2:18" ht="12.75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R117" s="137"/>
    </row>
    <row r="118" spans="2:18" ht="12.75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R118" s="137"/>
    </row>
    <row r="119" spans="2:18" ht="12.75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R119" s="137"/>
    </row>
    <row r="120" spans="2:18" ht="12.75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R120" s="137"/>
    </row>
    <row r="121" spans="2:18" ht="12.75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R121" s="137"/>
    </row>
    <row r="122" spans="2:18" ht="12.75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R122" s="137"/>
    </row>
    <row r="123" spans="2:18" ht="12.75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R123" s="137"/>
    </row>
    <row r="124" spans="2:18" ht="12.75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R124" s="137"/>
    </row>
    <row r="125" spans="2:18" ht="12.75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R125" s="137"/>
    </row>
    <row r="126" spans="2:18" ht="12.75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R126" s="137"/>
    </row>
    <row r="127" spans="2:18" ht="12.75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R127" s="137"/>
    </row>
    <row r="128" spans="2:18" ht="12.75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R128" s="137"/>
    </row>
    <row r="129" spans="2:18" ht="12.75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R129" s="137"/>
    </row>
    <row r="130" spans="2:18" ht="12.75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R130" s="137"/>
    </row>
    <row r="131" spans="2:18" ht="12.75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R131" s="137"/>
    </row>
    <row r="132" spans="2:18" ht="12.75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R132" s="137"/>
    </row>
    <row r="133" spans="2:18" ht="12.75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R133" s="137"/>
    </row>
    <row r="134" spans="2:18" ht="12.75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R134" s="137"/>
    </row>
    <row r="135" spans="2:18" ht="12.75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R135" s="137"/>
    </row>
    <row r="136" spans="2:18" ht="12.75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R136" s="137"/>
    </row>
    <row r="137" spans="2:18" ht="12.75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R137" s="137"/>
    </row>
    <row r="138" spans="2:18" ht="12.75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R138" s="137"/>
    </row>
    <row r="139" spans="2:18" ht="12.75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R139" s="137"/>
    </row>
    <row r="140" spans="2:18" ht="12.75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R140" s="137"/>
    </row>
    <row r="141" spans="2:18" ht="12.75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R141" s="137"/>
    </row>
    <row r="142" spans="2:18" ht="12.75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R142" s="137"/>
    </row>
    <row r="143" spans="2:18" ht="12.75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R143" s="137"/>
    </row>
    <row r="144" spans="2:18" ht="12.75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R144" s="137"/>
    </row>
    <row r="145" spans="2:18" ht="12.75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R145" s="137"/>
    </row>
    <row r="146" spans="2:18" ht="12.75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R146" s="137"/>
    </row>
    <row r="147" spans="2:18" ht="12.75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R147" s="137"/>
    </row>
    <row r="148" spans="2:18" ht="12.75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R148" s="137"/>
    </row>
    <row r="149" spans="2:18" ht="12.75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R149" s="137"/>
    </row>
    <row r="150" spans="2:18" ht="12.75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R150" s="137"/>
    </row>
    <row r="151" spans="2:18" ht="12.75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R151" s="137"/>
    </row>
    <row r="152" spans="2:18" ht="12.75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R152" s="137"/>
    </row>
    <row r="153" spans="2:18" ht="12.75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R153" s="137"/>
    </row>
    <row r="154" spans="2:18" ht="12.75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R154" s="137"/>
    </row>
    <row r="155" spans="2:18" ht="12.75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R155" s="137"/>
    </row>
    <row r="156" spans="2:18" ht="12.75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R156" s="137"/>
    </row>
    <row r="157" spans="2:18" ht="12.75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R157" s="137"/>
    </row>
    <row r="158" spans="2:18" ht="12.75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R158" s="137"/>
    </row>
    <row r="159" spans="2:18" ht="12.75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R159" s="137"/>
    </row>
    <row r="160" spans="2:18" ht="12.75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R160" s="137"/>
    </row>
    <row r="161" spans="2:18" ht="12.75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R161" s="137"/>
    </row>
    <row r="162" spans="2:18" ht="12.75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R162" s="137"/>
    </row>
    <row r="163" spans="2:18" ht="12.75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R163" s="137"/>
    </row>
    <row r="164" spans="2:18" ht="12.75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R164" s="137"/>
    </row>
    <row r="165" spans="2:18" ht="12.75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R165" s="137"/>
    </row>
    <row r="166" spans="2:18" ht="12.75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R166" s="137"/>
    </row>
    <row r="167" spans="2:18" ht="12.75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R167" s="137"/>
    </row>
    <row r="168" spans="2:18" ht="12.75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R168" s="137"/>
    </row>
    <row r="169" spans="2:18" ht="12.75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R169" s="137"/>
    </row>
    <row r="170" spans="2:18" ht="12.75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R170" s="137"/>
    </row>
    <row r="171" spans="2:18" ht="12.75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R171" s="137"/>
    </row>
    <row r="172" spans="2:18" ht="12.75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R172" s="137"/>
    </row>
    <row r="173" spans="2:18" ht="12.75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R173" s="137"/>
    </row>
    <row r="174" spans="2:18" ht="12.75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R174" s="137"/>
    </row>
    <row r="175" spans="2:18" ht="12.75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R175" s="137"/>
    </row>
    <row r="176" spans="2:18" ht="12.75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R176" s="137"/>
    </row>
    <row r="177" spans="2:18" ht="12.75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R177" s="137"/>
    </row>
    <row r="178" spans="2:18" ht="12.75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R178" s="137"/>
    </row>
    <row r="179" spans="2:18" ht="12.75"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R179" s="137"/>
    </row>
    <row r="180" spans="2:18" ht="12.75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R180" s="137"/>
    </row>
    <row r="181" spans="2:18" ht="12.75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R181" s="137"/>
    </row>
    <row r="182" spans="2:18" ht="12.75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R182" s="137"/>
    </row>
    <row r="183" spans="2:18" ht="12.75"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R183" s="137"/>
    </row>
    <row r="184" spans="2:18" ht="12.75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R184" s="137"/>
    </row>
    <row r="185" spans="2:18" ht="12.75"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R185" s="137"/>
    </row>
    <row r="186" spans="2:18" ht="12.75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R186" s="137"/>
    </row>
    <row r="187" spans="2:18" ht="12.75"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R187" s="137"/>
    </row>
    <row r="188" spans="2:18" ht="12.75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R188" s="137"/>
    </row>
    <row r="189" spans="2:18" ht="12.75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R189" s="137"/>
    </row>
    <row r="190" spans="2:18" ht="12.75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R190" s="137"/>
    </row>
    <row r="191" spans="2:18" ht="12.75"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R191" s="137"/>
    </row>
    <row r="192" spans="2:18" ht="12.75"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R192" s="137"/>
    </row>
    <row r="193" spans="2:18" ht="12.75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R193" s="137"/>
    </row>
    <row r="194" spans="2:18" ht="12.75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R194" s="137"/>
    </row>
    <row r="195" spans="2:18" ht="12.75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R195" s="137"/>
    </row>
    <row r="196" spans="2:18" ht="12.75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R196" s="137"/>
    </row>
    <row r="197" spans="2:18" ht="12.75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R197" s="137"/>
    </row>
    <row r="198" spans="2:18" ht="12.75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R198" s="137"/>
    </row>
    <row r="199" spans="2:18" ht="12.75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R199" s="137"/>
    </row>
    <row r="200" spans="2:18" ht="12.75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R200" s="137"/>
    </row>
    <row r="201" spans="2:18" ht="12.75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R201" s="137"/>
    </row>
    <row r="202" spans="2:18" ht="12.75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R202" s="137"/>
    </row>
    <row r="203" spans="2:18" ht="12.75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R203" s="137"/>
    </row>
    <row r="204" spans="2:18" ht="12.75"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R204" s="137"/>
    </row>
    <row r="205" spans="2:18" ht="12.75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R205" s="137"/>
    </row>
    <row r="206" spans="2:18" ht="12.75"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R206" s="137"/>
    </row>
    <row r="207" spans="2:18" ht="12.75"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R207" s="137"/>
    </row>
    <row r="208" spans="2:18" ht="12.75"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R208" s="137"/>
    </row>
    <row r="209" spans="2:18" ht="12.75"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R209" s="137"/>
    </row>
    <row r="210" spans="2:18" ht="12.75"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R210" s="137"/>
    </row>
    <row r="211" spans="2:18" ht="12.75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R211" s="137"/>
    </row>
    <row r="212" spans="2:18" ht="12.75"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R212" s="137"/>
    </row>
    <row r="213" spans="2:18" ht="12.75"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R213" s="137"/>
    </row>
    <row r="214" spans="2:18" ht="12.75"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R214" s="137"/>
    </row>
    <row r="215" spans="2:18" ht="12.75"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R215" s="137"/>
    </row>
    <row r="216" spans="2:18" ht="12.75"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R216" s="137"/>
    </row>
    <row r="217" spans="2:18" ht="12.75"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R217" s="137"/>
    </row>
    <row r="218" spans="2:18" ht="12.75"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R218" s="137"/>
    </row>
    <row r="219" spans="2:18" ht="12.75"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R219" s="137"/>
    </row>
    <row r="220" spans="2:18" ht="12.75"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R220" s="137"/>
    </row>
    <row r="221" spans="2:18" ht="12.75"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R221" s="137"/>
    </row>
    <row r="222" spans="2:18" ht="12.75"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R222" s="137"/>
    </row>
    <row r="223" spans="2:18" ht="12.75"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R223" s="137"/>
    </row>
    <row r="224" spans="2:18" ht="12.75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R224" s="137"/>
    </row>
    <row r="225" spans="2:18" ht="12.75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R225" s="137"/>
    </row>
    <row r="226" spans="2:18" ht="12.75"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R226" s="137"/>
    </row>
    <row r="227" spans="2:18" ht="12.75"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R227" s="137"/>
    </row>
    <row r="228" spans="2:18" ht="12.75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R228" s="137"/>
    </row>
    <row r="229" spans="2:18" ht="12.75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R229" s="137"/>
    </row>
    <row r="230" spans="2:18" ht="12.75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R230" s="137"/>
    </row>
    <row r="231" spans="2:18" ht="12.75"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R231" s="137"/>
    </row>
    <row r="232" spans="2:18" ht="12.75"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R232" s="137"/>
    </row>
    <row r="233" spans="2:18" ht="12.75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R233" s="137"/>
    </row>
    <row r="234" spans="2:18" ht="12.75"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R234" s="137"/>
    </row>
    <row r="235" spans="2:18" ht="12.75"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R235" s="137"/>
    </row>
    <row r="236" spans="2:18" ht="12.75"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R236" s="137"/>
    </row>
    <row r="237" spans="2:18" ht="12.75"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R237" s="137"/>
    </row>
    <row r="238" spans="2:18" ht="12.75"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R238" s="137"/>
    </row>
    <row r="239" spans="2:18" ht="12.75"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R239" s="137"/>
    </row>
    <row r="240" spans="2:18" ht="12.75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R240" s="137"/>
    </row>
    <row r="241" spans="2:18" ht="12.75"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R241" s="137"/>
    </row>
    <row r="242" spans="2:18" ht="12.75"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R242" s="137"/>
    </row>
    <row r="243" spans="2:18" ht="12.75"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R243" s="137"/>
    </row>
    <row r="244" spans="2:18" ht="12.75"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R244" s="137"/>
    </row>
    <row r="245" spans="2:18" ht="12.75"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R245" s="137"/>
    </row>
    <row r="246" spans="2:18" ht="12.75"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R246" s="137"/>
    </row>
    <row r="247" spans="2:18" ht="12.75"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R247" s="137"/>
    </row>
    <row r="248" spans="2:18" ht="12.75"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R248" s="137"/>
    </row>
    <row r="249" spans="2:18" ht="12.75"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R249" s="137"/>
    </row>
    <row r="250" spans="2:18" ht="12.75"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R250" s="137"/>
    </row>
    <row r="251" spans="2:18" ht="12.75"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R251" s="137"/>
    </row>
    <row r="252" spans="2:18" ht="12.75"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R252" s="137"/>
    </row>
    <row r="253" spans="2:18" ht="12.75"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R253" s="137"/>
    </row>
    <row r="254" spans="2:18" ht="12.75"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R254" s="137"/>
    </row>
    <row r="255" spans="2:18" ht="12.75"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R255" s="137"/>
    </row>
    <row r="256" spans="2:18" ht="12.75"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R256" s="137"/>
    </row>
    <row r="257" spans="2:18" ht="12.75"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R257" s="137"/>
    </row>
    <row r="258" spans="2:18" ht="12.75"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R258" s="137"/>
    </row>
    <row r="259" spans="2:18" ht="12.75"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R259" s="137"/>
    </row>
    <row r="260" spans="2:18" ht="12.75"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R260" s="137"/>
    </row>
    <row r="261" spans="2:18" ht="12.75"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R261" s="137"/>
    </row>
    <row r="262" spans="2:18" ht="12.75"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R262" s="137"/>
    </row>
    <row r="263" spans="2:18" ht="12.75"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R263" s="137"/>
    </row>
    <row r="264" spans="2:18" ht="12.75"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R264" s="137"/>
    </row>
    <row r="265" spans="2:18" ht="12.75"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R265" s="137"/>
    </row>
    <row r="266" spans="2:18" ht="12.75"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R266" s="137"/>
    </row>
    <row r="267" spans="2:18" ht="12.75"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R267" s="137"/>
    </row>
    <row r="268" spans="2:18" ht="12.75"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R268" s="137"/>
    </row>
    <row r="269" spans="2:18" ht="12.75"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R269" s="137"/>
    </row>
    <row r="270" spans="2:18" ht="12.75"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R270" s="137"/>
    </row>
    <row r="271" spans="2:18" ht="12.75"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R271" s="137"/>
    </row>
    <row r="272" spans="2:18" ht="12.75"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R272" s="137"/>
    </row>
    <row r="273" spans="2:18" ht="12.75"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R273" s="137"/>
    </row>
    <row r="274" spans="2:18" ht="12.75"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R274" s="137"/>
    </row>
    <row r="275" spans="2:18" ht="12.75"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R275" s="137"/>
    </row>
    <row r="276" spans="2:18" ht="12.75"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R276" s="137"/>
    </row>
    <row r="277" spans="2:18" ht="12.75"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R277" s="137"/>
    </row>
    <row r="278" spans="2:18" ht="12.75"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R278" s="137"/>
    </row>
    <row r="279" spans="2:18" ht="12.75"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R279" s="137"/>
    </row>
    <row r="280" spans="2:18" ht="12.75"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R280" s="137"/>
    </row>
    <row r="281" spans="2:18" ht="12.75"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R281" s="137"/>
    </row>
    <row r="282" spans="2:18" ht="12.75"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R282" s="137"/>
    </row>
    <row r="283" spans="2:18" ht="12.75"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R283" s="137"/>
    </row>
    <row r="284" spans="2:18" ht="12.75"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R284" s="137"/>
    </row>
    <row r="285" spans="2:18" ht="12.75"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R285" s="137"/>
    </row>
    <row r="286" spans="2:18" ht="12.75"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R286" s="137"/>
    </row>
    <row r="287" spans="2:18" ht="12.75"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R287" s="137"/>
    </row>
    <row r="288" spans="2:18" ht="12.75"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R288" s="137"/>
    </row>
    <row r="289" spans="2:18" ht="12.75"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R289" s="137"/>
    </row>
    <row r="290" spans="2:18" ht="12.75"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R290" s="137"/>
    </row>
    <row r="291" spans="2:18" ht="12.75"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R291" s="137"/>
    </row>
    <row r="292" spans="2:18" ht="12.75"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R292" s="137"/>
    </row>
    <row r="293" spans="2:18" ht="12.75"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R293" s="137"/>
    </row>
    <row r="294" spans="2:18" ht="12.75"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R294" s="137"/>
    </row>
    <row r="295" spans="2:18" ht="12.75"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R295" s="137"/>
    </row>
    <row r="296" spans="2:18" ht="12.75"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R296" s="137"/>
    </row>
    <row r="297" spans="2:18" ht="12.75"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R297" s="137"/>
    </row>
    <row r="298" spans="2:18" ht="12.75"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R298" s="137"/>
    </row>
    <row r="299" spans="2:18" ht="12.75"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R299" s="137"/>
    </row>
    <row r="300" spans="2:18" ht="12.75"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R300" s="137"/>
    </row>
    <row r="301" spans="2:18" ht="12.75"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R301" s="137"/>
    </row>
    <row r="302" spans="2:18" ht="12.75"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R302" s="137"/>
    </row>
    <row r="303" spans="2:18" ht="12.75"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R303" s="137"/>
    </row>
    <row r="304" spans="2:18" ht="12.75"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R304" s="137"/>
    </row>
    <row r="305" spans="2:18" ht="12.75"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R305" s="137"/>
    </row>
    <row r="306" spans="2:18" ht="12.75"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R306" s="137"/>
    </row>
    <row r="307" spans="2:18" ht="12.75"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R307" s="137"/>
    </row>
    <row r="308" spans="2:18" ht="12.75"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R308" s="137"/>
    </row>
    <row r="309" spans="2:18" ht="12.75"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R309" s="137"/>
    </row>
    <row r="310" spans="2:18" ht="12.75"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R310" s="137"/>
    </row>
    <row r="311" spans="2:18" ht="12.75"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R311" s="137"/>
    </row>
    <row r="312" spans="2:18" ht="12.75"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R312" s="137"/>
    </row>
    <row r="313" spans="2:18" ht="12.75"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R313" s="137"/>
    </row>
    <row r="314" spans="2:18" ht="12.75"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R314" s="137"/>
    </row>
    <row r="315" spans="2:18" ht="12.75"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R315" s="137"/>
    </row>
    <row r="316" spans="2:18" ht="12.75"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R316" s="137"/>
    </row>
    <row r="317" spans="2:18" ht="12.75"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R317" s="137"/>
    </row>
    <row r="318" spans="2:18" ht="12.75"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R318" s="137"/>
    </row>
    <row r="319" spans="2:18" ht="12.75"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R319" s="137"/>
    </row>
    <row r="320" spans="2:18" ht="12.75"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R320" s="137"/>
    </row>
    <row r="321" spans="2:18" ht="12.75"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R321" s="137"/>
    </row>
    <row r="322" spans="2:18" ht="12.75"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R322" s="137"/>
    </row>
    <row r="323" spans="2:18" ht="12.75"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R323" s="137"/>
    </row>
    <row r="324" spans="2:18" ht="12.75"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R324" s="137"/>
    </row>
    <row r="325" spans="2:18" ht="12.75"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R325" s="137"/>
    </row>
    <row r="326" spans="2:18" ht="12.75"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R326" s="137"/>
    </row>
    <row r="327" spans="2:18" ht="12.75"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R327" s="137"/>
    </row>
    <row r="328" spans="2:18" ht="12.75"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R328" s="137"/>
    </row>
    <row r="329" spans="2:18" ht="12.75"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R329" s="137"/>
    </row>
    <row r="330" spans="2:18" ht="12.75"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R330" s="137"/>
    </row>
    <row r="331" spans="2:18" ht="12.75"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R331" s="137"/>
    </row>
    <row r="332" spans="2:18" ht="12.75"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R332" s="137"/>
    </row>
    <row r="333" spans="2:18" ht="12.75"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R333" s="137"/>
    </row>
    <row r="334" spans="2:18" ht="12.75"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R334" s="137"/>
    </row>
    <row r="335" spans="2:18" ht="12.75"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R335" s="137"/>
    </row>
    <row r="336" spans="2:18" ht="12.75"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R336" s="137"/>
    </row>
  </sheetData>
  <sheetProtection password="CAF5" sheet="1"/>
  <mergeCells count="1">
    <mergeCell ref="A4:M4"/>
  </mergeCells>
  <printOptions/>
  <pageMargins left="0.36" right="0.21" top="0.86" bottom="0.61" header="0.37" footer="0.4"/>
  <pageSetup fitToHeight="1" fitToWidth="1" horizontalDpi="600" verticalDpi="600" orientation="landscape" scale="82" r:id="rId1"/>
  <headerFooter scaleWithDoc="0" alignWithMargins="0">
    <oddFooter>&amp;L&amp;"Arial,Italic"&amp;10MSDE-LFRO  10 / 2011
&amp;C&amp;"Arial,Regular"&amp;10- 19 -&amp;R&amp;"Arial,Italic"&amp;10Selected Financial Data - Part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5"/>
  <sheetViews>
    <sheetView zoomScalePageLayoutView="0" workbookViewId="0" topLeftCell="A31">
      <selection activeCell="A40" sqref="A40"/>
    </sheetView>
  </sheetViews>
  <sheetFormatPr defaultColWidth="10.00390625" defaultRowHeight="15.75"/>
  <cols>
    <col min="1" max="1" width="12.875" style="1" customWidth="1"/>
    <col min="2" max="11" width="12.625" style="1" customWidth="1"/>
    <col min="12" max="12" width="8.50390625" style="1" customWidth="1"/>
    <col min="13" max="13" width="7.75390625" style="1" customWidth="1"/>
    <col min="14" max="15" width="9.50390625" style="1" bestFit="1" customWidth="1"/>
    <col min="16" max="18" width="10.125" style="1" customWidth="1"/>
    <col min="19" max="23" width="10.125" style="3" customWidth="1"/>
    <col min="24" max="24" width="10.125" style="1" customWidth="1"/>
    <col min="25" max="27" width="11.00390625" style="3" bestFit="1" customWidth="1"/>
    <col min="28" max="29" width="10.875" style="3" customWidth="1"/>
    <col min="30" max="30" width="5.125" style="3" customWidth="1"/>
    <col min="31" max="31" width="12.625" style="3" bestFit="1" customWidth="1"/>
    <col min="32" max="32" width="10.125" style="3" customWidth="1"/>
    <col min="33" max="33" width="5.625" style="3" customWidth="1"/>
    <col min="34" max="35" width="10.125" style="3" customWidth="1"/>
    <col min="36" max="36" width="7.00390625" style="3" customWidth="1"/>
    <col min="37" max="38" width="10.125" style="3" customWidth="1"/>
    <col min="39" max="39" width="3.875" style="3" customWidth="1"/>
    <col min="40" max="41" width="10.125" style="3" customWidth="1"/>
    <col min="42" max="42" width="2.625" style="3" customWidth="1"/>
    <col min="43" max="44" width="10.125" style="3" customWidth="1"/>
    <col min="45" max="45" width="3.75390625" style="3" customWidth="1"/>
    <col min="46" max="47" width="10.125" style="3" customWidth="1"/>
    <col min="48" max="48" width="2.50390625" style="3" customWidth="1"/>
    <col min="49" max="50" width="10.125" style="3" customWidth="1"/>
    <col min="51" max="51" width="10.25390625" style="3" bestFit="1" customWidth="1"/>
    <col min="52" max="52" width="10.125" style="3" bestFit="1" customWidth="1"/>
    <col min="53" max="53" width="10.25390625" style="3" bestFit="1" customWidth="1"/>
    <col min="54" max="54" width="10.125" style="3" bestFit="1" customWidth="1"/>
    <col min="55" max="55" width="10.25390625" style="3" bestFit="1" customWidth="1"/>
    <col min="56" max="56" width="10.125" style="3" bestFit="1" customWidth="1"/>
    <col min="57" max="16384" width="10.00390625" style="3" customWidth="1"/>
  </cols>
  <sheetData>
    <row r="1" spans="1:24" s="225" customFormat="1" ht="12.75">
      <c r="A1" s="314" t="s">
        <v>81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201"/>
      <c r="O1" s="68"/>
      <c r="P1" s="68"/>
      <c r="Q1" s="68"/>
      <c r="R1" s="68"/>
      <c r="X1" s="68"/>
    </row>
    <row r="2" spans="1:24" s="225" customFormat="1" ht="12.7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68"/>
      <c r="P2" s="68"/>
      <c r="Q2" s="68"/>
      <c r="R2" s="68"/>
      <c r="X2" s="68"/>
    </row>
    <row r="3" spans="1:24" s="225" customFormat="1" ht="12.75">
      <c r="A3" s="314" t="s">
        <v>224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201"/>
      <c r="O3" s="68"/>
      <c r="P3" s="68"/>
      <c r="Q3" s="68"/>
      <c r="R3" s="68"/>
      <c r="X3" s="68"/>
    </row>
    <row r="4" spans="1:24" s="225" customFormat="1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201"/>
      <c r="O4" s="68"/>
      <c r="P4" s="68"/>
      <c r="Q4" s="68"/>
      <c r="R4" s="68"/>
      <c r="X4" s="68"/>
    </row>
    <row r="5" spans="1:24" ht="13.5" thickBo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94"/>
      <c r="X5" s="94"/>
    </row>
    <row r="6" spans="1:30" ht="13.5" thickTop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5"/>
      <c r="O6" s="5"/>
      <c r="P6" s="5"/>
      <c r="Q6" s="5"/>
      <c r="R6" s="5"/>
      <c r="T6" s="5"/>
      <c r="U6" s="5"/>
      <c r="V6" s="172"/>
      <c r="W6" s="172"/>
      <c r="X6" s="172"/>
      <c r="Y6" s="172"/>
      <c r="Z6" s="172"/>
      <c r="AA6" s="172"/>
      <c r="AB6" s="172"/>
      <c r="AC6" s="172"/>
      <c r="AD6" s="173"/>
    </row>
    <row r="7" spans="1:30" ht="12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6" t="s">
        <v>34</v>
      </c>
      <c r="M7" s="6"/>
      <c r="T7" s="1"/>
      <c r="U7" s="1"/>
      <c r="V7" s="94"/>
      <c r="W7" s="94"/>
      <c r="X7" s="94"/>
      <c r="Y7" s="94"/>
      <c r="Z7" s="94"/>
      <c r="AA7" s="94"/>
      <c r="AB7" s="94"/>
      <c r="AC7" s="94"/>
      <c r="AD7" s="94"/>
    </row>
    <row r="8" spans="1:56" ht="12.75">
      <c r="A8" s="94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0" t="s">
        <v>85</v>
      </c>
      <c r="M8" s="10" t="s">
        <v>86</v>
      </c>
      <c r="T8" s="1"/>
      <c r="U8" s="1"/>
      <c r="V8" s="94"/>
      <c r="W8" s="94"/>
      <c r="X8" s="94"/>
      <c r="Y8" s="94"/>
      <c r="Z8" s="173"/>
      <c r="AA8" s="173"/>
      <c r="AB8" s="173"/>
      <c r="AC8" s="173"/>
      <c r="AD8" s="173"/>
      <c r="AI8" s="3" t="s">
        <v>209</v>
      </c>
      <c r="AL8" s="3" t="s">
        <v>209</v>
      </c>
      <c r="AO8" s="3" t="s">
        <v>209</v>
      </c>
      <c r="AR8" s="3" t="s">
        <v>209</v>
      </c>
      <c r="AU8" s="3" t="s">
        <v>209</v>
      </c>
      <c r="AX8" s="3" t="s">
        <v>209</v>
      </c>
      <c r="AZ8" s="189" t="s">
        <v>209</v>
      </c>
      <c r="BB8" s="189" t="s">
        <v>209</v>
      </c>
      <c r="BD8" s="189" t="s">
        <v>209</v>
      </c>
    </row>
    <row r="9" spans="1:56" ht="13.5" thickBot="1">
      <c r="A9" s="8" t="s">
        <v>1</v>
      </c>
      <c r="B9" s="9" t="s">
        <v>105</v>
      </c>
      <c r="C9" s="9" t="s">
        <v>161</v>
      </c>
      <c r="D9" s="9" t="s">
        <v>168</v>
      </c>
      <c r="E9" s="9" t="s">
        <v>184</v>
      </c>
      <c r="F9" s="9" t="s">
        <v>194</v>
      </c>
      <c r="G9" s="9" t="s">
        <v>208</v>
      </c>
      <c r="H9" s="9" t="s">
        <v>243</v>
      </c>
      <c r="I9" s="9" t="s">
        <v>256</v>
      </c>
      <c r="J9" s="9" t="s">
        <v>269</v>
      </c>
      <c r="K9" s="9" t="s">
        <v>284</v>
      </c>
      <c r="L9" s="9" t="s">
        <v>84</v>
      </c>
      <c r="M9" s="9" t="s">
        <v>84</v>
      </c>
      <c r="N9" s="10" t="s">
        <v>42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4"/>
      <c r="AE9" s="9" t="s">
        <v>105</v>
      </c>
      <c r="AF9" s="9" t="s">
        <v>105</v>
      </c>
      <c r="AH9" s="114" t="s">
        <v>161</v>
      </c>
      <c r="AI9" s="114" t="s">
        <v>161</v>
      </c>
      <c r="AK9" s="114" t="s">
        <v>168</v>
      </c>
      <c r="AL9" s="114" t="s">
        <v>168</v>
      </c>
      <c r="AN9" s="20" t="s">
        <v>184</v>
      </c>
      <c r="AO9" s="20" t="s">
        <v>184</v>
      </c>
      <c r="AQ9" s="3" t="s">
        <v>194</v>
      </c>
      <c r="AR9" s="3" t="s">
        <v>194</v>
      </c>
      <c r="AT9" s="3" t="s">
        <v>208</v>
      </c>
      <c r="AU9" s="3" t="s">
        <v>208</v>
      </c>
      <c r="AW9" s="20" t="s">
        <v>243</v>
      </c>
      <c r="AX9" s="20" t="s">
        <v>243</v>
      </c>
      <c r="AY9" s="20" t="s">
        <v>256</v>
      </c>
      <c r="AZ9" s="20" t="s">
        <v>256</v>
      </c>
      <c r="BA9" s="20" t="s">
        <v>269</v>
      </c>
      <c r="BB9" s="20" t="s">
        <v>269</v>
      </c>
      <c r="BC9" s="3" t="s">
        <v>284</v>
      </c>
      <c r="BD9" s="3" t="s">
        <v>284</v>
      </c>
    </row>
    <row r="10" spans="1:56" ht="13.5" thickTop="1">
      <c r="A10" s="7" t="s">
        <v>5</v>
      </c>
      <c r="B10" s="11">
        <f aca="true" t="shared" si="0" ref="B10:H10">SUM(B12:B39)</f>
        <v>6943072</v>
      </c>
      <c r="C10" s="11">
        <f t="shared" si="0"/>
        <v>7325471</v>
      </c>
      <c r="D10" s="11">
        <f t="shared" si="0"/>
        <v>7726859</v>
      </c>
      <c r="E10" s="11">
        <f t="shared" si="0"/>
        <v>8112458</v>
      </c>
      <c r="F10" s="11">
        <f t="shared" si="0"/>
        <v>8480476</v>
      </c>
      <c r="G10" s="11">
        <f t="shared" si="0"/>
        <v>9310462.95686</v>
      </c>
      <c r="H10" s="11">
        <f t="shared" si="0"/>
        <v>10011027.545769999</v>
      </c>
      <c r="I10" s="11">
        <f>SUM(I12:I39)</f>
        <v>10941375.004059998</v>
      </c>
      <c r="J10" s="11">
        <f>SUM(J12:J39)</f>
        <v>11385648.203920003</v>
      </c>
      <c r="K10" s="11">
        <f>SUM(K12:K39)</f>
        <v>11567793.726969</v>
      </c>
      <c r="L10" s="244">
        <f>(K10-J10)*100/J10</f>
        <v>1.5997817584622493</v>
      </c>
      <c r="M10" s="244">
        <f>(J10-AB10)*100/AB10</f>
        <v>86.39937035339871</v>
      </c>
      <c r="N10" s="13">
        <f aca="true" t="shared" si="1" ref="N10:S10">SUM(N12:N39)</f>
        <v>2486303</v>
      </c>
      <c r="O10" s="11">
        <f t="shared" si="1"/>
        <v>2685434</v>
      </c>
      <c r="P10" s="11">
        <f t="shared" si="1"/>
        <v>2916433</v>
      </c>
      <c r="Q10" s="11">
        <f t="shared" si="1"/>
        <v>3174751</v>
      </c>
      <c r="R10" s="11">
        <f t="shared" si="1"/>
        <v>3478838</v>
      </c>
      <c r="S10" s="11">
        <f t="shared" si="1"/>
        <v>3829014</v>
      </c>
      <c r="T10" s="11">
        <f aca="true" t="shared" si="2" ref="T10:Y10">SUM(T12:T39)</f>
        <v>4179737</v>
      </c>
      <c r="U10" s="11">
        <f t="shared" si="2"/>
        <v>4284556</v>
      </c>
      <c r="V10" s="11">
        <f t="shared" si="2"/>
        <v>4502334.729000001</v>
      </c>
      <c r="W10" s="11">
        <f t="shared" si="2"/>
        <v>4727259</v>
      </c>
      <c r="X10" s="11">
        <f t="shared" si="2"/>
        <v>5028499</v>
      </c>
      <c r="Y10" s="11">
        <f t="shared" si="2"/>
        <v>5227695</v>
      </c>
      <c r="Z10" s="11">
        <f>SUM(Z12:Z39)</f>
        <v>5453638</v>
      </c>
      <c r="AA10" s="11">
        <f>SUM(AA12:AA39)</f>
        <v>5780549</v>
      </c>
      <c r="AB10" s="11">
        <f>SUM(AB12:AB39)</f>
        <v>6108201</v>
      </c>
      <c r="AC10" s="11">
        <f>SUM(AC12:AC39)</f>
        <v>6418873</v>
      </c>
      <c r="AD10" s="11"/>
      <c r="AE10" s="11">
        <f>SUM(AE12:AE39)</f>
        <v>6943074714</v>
      </c>
      <c r="AF10" s="11">
        <f>SUM(AF12:AF39)</f>
        <v>6943074.714000001</v>
      </c>
      <c r="AH10" s="3">
        <f>SUM(AH12:AH39)</f>
        <v>7325471043</v>
      </c>
      <c r="AI10" s="3">
        <f>SUM(AI12:AI39)</f>
        <v>7325471.043000001</v>
      </c>
      <c r="AK10" s="3">
        <f>SUM(AK12:AK39)</f>
        <v>7726855425</v>
      </c>
      <c r="AL10" s="3">
        <f>SUM(AL12:AL39)</f>
        <v>7726855.425000001</v>
      </c>
      <c r="AN10" s="3">
        <f>SUM(AN12:AN39)</f>
        <v>8112456886</v>
      </c>
      <c r="AO10" s="3">
        <f>SUM(AO12:AO39)</f>
        <v>8112456.886</v>
      </c>
      <c r="AQ10" s="3">
        <v>8480476955</v>
      </c>
      <c r="AR10" s="3">
        <f>SUM(AR12:AR39)</f>
        <v>8480476.957</v>
      </c>
      <c r="AT10" s="3">
        <f>SUM(AT12:AT39)</f>
        <v>9310462956.86</v>
      </c>
      <c r="AU10" s="3">
        <f>SUM(AU12:AU39)</f>
        <v>9310462.95686</v>
      </c>
      <c r="AW10" s="3">
        <f aca="true" t="shared" si="3" ref="AW10:BD10">SUM(AW12:AW39)</f>
        <v>10011027545.769999</v>
      </c>
      <c r="AX10" s="3">
        <f t="shared" si="3"/>
        <v>10011027.545769999</v>
      </c>
      <c r="AY10" s="3">
        <f t="shared" si="3"/>
        <v>10941375004.060003</v>
      </c>
      <c r="AZ10" s="3">
        <f t="shared" si="3"/>
        <v>10941375.004059998</v>
      </c>
      <c r="BA10" s="3">
        <f t="shared" si="3"/>
        <v>11385648203.92</v>
      </c>
      <c r="BB10" s="3">
        <f t="shared" si="3"/>
        <v>11385648.203920003</v>
      </c>
      <c r="BC10" s="3">
        <f t="shared" si="3"/>
        <v>11567793726.968996</v>
      </c>
      <c r="BD10" s="3">
        <f t="shared" si="3"/>
        <v>11567793.726969</v>
      </c>
    </row>
    <row r="11" spans="13:30" ht="12.75">
      <c r="M11" s="14"/>
      <c r="S11" s="1"/>
      <c r="T11" s="1"/>
      <c r="U11" s="1"/>
      <c r="V11" s="1"/>
      <c r="W11" s="1"/>
      <c r="Y11" s="14"/>
      <c r="Z11" s="14"/>
      <c r="AA11" s="14"/>
      <c r="AB11" s="14"/>
      <c r="AC11" s="14"/>
      <c r="AD11" s="14"/>
    </row>
    <row r="12" spans="1:56" ht="12.75">
      <c r="A12" s="1" t="s">
        <v>6</v>
      </c>
      <c r="B12" s="1">
        <v>80469</v>
      </c>
      <c r="C12" s="1">
        <v>85597</v>
      </c>
      <c r="D12" s="1">
        <v>89453</v>
      </c>
      <c r="E12" s="1">
        <v>91103</v>
      </c>
      <c r="F12" s="1">
        <v>95004</v>
      </c>
      <c r="G12" s="1">
        <v>104075.29999000001</v>
      </c>
      <c r="H12" s="1">
        <v>112509.27961999999</v>
      </c>
      <c r="I12" s="1">
        <v>127100.95576000001</v>
      </c>
      <c r="J12" s="1">
        <v>132487.03788</v>
      </c>
      <c r="K12" s="1">
        <v>132693.88111999998</v>
      </c>
      <c r="L12" s="244">
        <f>(K12-J12)*100/J12</f>
        <v>0.1561233787922223</v>
      </c>
      <c r="M12" s="244">
        <f>(K12-AC12)*100/AC12</f>
        <v>73.39258979719838</v>
      </c>
      <c r="N12" s="14">
        <v>37762</v>
      </c>
      <c r="O12" s="14">
        <v>39463</v>
      </c>
      <c r="P12" s="14">
        <v>41847</v>
      </c>
      <c r="Q12" s="14">
        <v>45105</v>
      </c>
      <c r="R12" s="14">
        <v>47782</v>
      </c>
      <c r="S12" s="14">
        <v>50521</v>
      </c>
      <c r="T12" s="14">
        <v>53781</v>
      </c>
      <c r="U12" s="14">
        <v>54877</v>
      </c>
      <c r="V12" s="14">
        <f>57523082/1000</f>
        <v>57523.082</v>
      </c>
      <c r="W12" s="14">
        <v>59839</v>
      </c>
      <c r="X12" s="14">
        <v>63412</v>
      </c>
      <c r="Y12" s="14">
        <v>66229</v>
      </c>
      <c r="Z12" s="14">
        <v>69046</v>
      </c>
      <c r="AA12" s="14">
        <v>71664</v>
      </c>
      <c r="AB12" s="14">
        <v>75072</v>
      </c>
      <c r="AC12" s="14">
        <v>76528</v>
      </c>
      <c r="AD12" s="14"/>
      <c r="AE12" s="3">
        <v>80468850</v>
      </c>
      <c r="AF12" s="3">
        <f>AE12/1000</f>
        <v>80468.85</v>
      </c>
      <c r="AH12" s="3">
        <v>85597068</v>
      </c>
      <c r="AI12" s="3">
        <f>AH12/1000</f>
        <v>85597.068</v>
      </c>
      <c r="AK12" s="3">
        <v>89453050</v>
      </c>
      <c r="AL12" s="3">
        <f>AK12/1000</f>
        <v>89453.05</v>
      </c>
      <c r="AN12" s="3">
        <v>91102621</v>
      </c>
      <c r="AO12" s="3">
        <f>AN12/1000</f>
        <v>91102.621</v>
      </c>
      <c r="AQ12" s="3">
        <v>95003755</v>
      </c>
      <c r="AR12" s="3">
        <f>AQ12/1000</f>
        <v>95003.755</v>
      </c>
      <c r="AT12" s="3">
        <v>104075299.99000001</v>
      </c>
      <c r="AU12" s="3">
        <f>AT12/1000</f>
        <v>104075.29999000001</v>
      </c>
      <c r="AW12" s="3">
        <v>112509279.61999999</v>
      </c>
      <c r="AX12" s="3">
        <f>AW12/1000</f>
        <v>112509.27961999999</v>
      </c>
      <c r="AY12" s="3">
        <v>127100955.76</v>
      </c>
      <c r="AZ12" s="3">
        <f>AY12/1000</f>
        <v>127100.95576000001</v>
      </c>
      <c r="BA12" s="3">
        <v>132487037.88</v>
      </c>
      <c r="BB12" s="3">
        <f>BA12/1000</f>
        <v>132487.03788</v>
      </c>
      <c r="BC12" s="3">
        <v>132693881.11999997</v>
      </c>
      <c r="BD12" s="3">
        <f>BC12/1000</f>
        <v>132693.88111999998</v>
      </c>
    </row>
    <row r="13" spans="1:56" ht="12.75">
      <c r="A13" s="1" t="s">
        <v>7</v>
      </c>
      <c r="B13" s="1">
        <v>570321</v>
      </c>
      <c r="C13" s="1">
        <v>605913</v>
      </c>
      <c r="D13" s="1">
        <v>635152</v>
      </c>
      <c r="E13" s="1">
        <v>657396</v>
      </c>
      <c r="F13" s="1">
        <v>665515</v>
      </c>
      <c r="G13" s="1">
        <v>739303.9635</v>
      </c>
      <c r="H13" s="1">
        <v>804385.35799</v>
      </c>
      <c r="I13" s="1">
        <v>869011.8090600001</v>
      </c>
      <c r="J13" s="1">
        <v>921789.9354699999</v>
      </c>
      <c r="K13" s="1">
        <v>943443.2530589998</v>
      </c>
      <c r="L13" s="244">
        <f>(K13-J13)*100/J13</f>
        <v>2.3490512052465977</v>
      </c>
      <c r="M13" s="244">
        <f>(K13-AC13)*100/AC13</f>
        <v>76.4791192271863</v>
      </c>
      <c r="N13" s="14">
        <v>221383</v>
      </c>
      <c r="O13" s="14">
        <v>242466</v>
      </c>
      <c r="P13" s="14">
        <v>266240</v>
      </c>
      <c r="Q13" s="14">
        <v>282632</v>
      </c>
      <c r="R13" s="14">
        <v>306897</v>
      </c>
      <c r="S13" s="14">
        <v>341757</v>
      </c>
      <c r="T13" s="14">
        <v>374313</v>
      </c>
      <c r="U13" s="14">
        <v>375017</v>
      </c>
      <c r="V13" s="14">
        <f>394831587/1000</f>
        <v>394831.587</v>
      </c>
      <c r="W13" s="14">
        <v>411021</v>
      </c>
      <c r="X13" s="14">
        <v>438133</v>
      </c>
      <c r="Y13" s="14">
        <v>455509</v>
      </c>
      <c r="Z13" s="14">
        <v>460381</v>
      </c>
      <c r="AA13" s="14">
        <v>478694</v>
      </c>
      <c r="AB13" s="14">
        <v>497891</v>
      </c>
      <c r="AC13" s="14">
        <v>534592</v>
      </c>
      <c r="AD13" s="14"/>
      <c r="AE13" s="3">
        <v>570321229</v>
      </c>
      <c r="AF13" s="3">
        <f>AE13/1000</f>
        <v>570321.229</v>
      </c>
      <c r="AH13" s="3">
        <v>605913064</v>
      </c>
      <c r="AI13" s="3">
        <f>AH13/1000</f>
        <v>605913.064</v>
      </c>
      <c r="AK13" s="3">
        <v>635151836</v>
      </c>
      <c r="AL13" s="3">
        <f>AK13/1000</f>
        <v>635151.836</v>
      </c>
      <c r="AN13" s="3">
        <v>657396192</v>
      </c>
      <c r="AO13" s="3">
        <f>AN13/1000</f>
        <v>657396.192</v>
      </c>
      <c r="AQ13" s="3">
        <v>665514975</v>
      </c>
      <c r="AR13" s="3">
        <f>AQ13/1000</f>
        <v>665514.975</v>
      </c>
      <c r="AT13" s="3">
        <v>739303963.5</v>
      </c>
      <c r="AU13" s="3">
        <f>AT13/1000</f>
        <v>739303.9635</v>
      </c>
      <c r="AW13" s="3">
        <v>804385357.99</v>
      </c>
      <c r="AX13" s="3">
        <f>AW13/1000</f>
        <v>804385.35799</v>
      </c>
      <c r="AY13" s="3">
        <v>869011809.0600001</v>
      </c>
      <c r="AZ13" s="3">
        <f>AY13/1000</f>
        <v>869011.8090600001</v>
      </c>
      <c r="BA13" s="3">
        <v>921789935.4699999</v>
      </c>
      <c r="BB13" s="3">
        <f>BA13/1000</f>
        <v>921789.9354699999</v>
      </c>
      <c r="BC13" s="3">
        <v>943443253.0589998</v>
      </c>
      <c r="BD13" s="3">
        <f>BC13/1000</f>
        <v>943443.2530589998</v>
      </c>
    </row>
    <row r="14" spans="1:56" ht="12.75">
      <c r="A14" s="1" t="s">
        <v>8</v>
      </c>
      <c r="B14" s="1">
        <v>919756</v>
      </c>
      <c r="C14" s="1">
        <v>940241</v>
      </c>
      <c r="D14" s="1">
        <v>929249</v>
      </c>
      <c r="E14" s="1">
        <v>921163</v>
      </c>
      <c r="F14" s="1">
        <v>1008905</v>
      </c>
      <c r="G14" s="1">
        <v>1063670.9177199998</v>
      </c>
      <c r="H14" s="1">
        <v>1107205.76319</v>
      </c>
      <c r="I14" s="1">
        <v>1229715.91896</v>
      </c>
      <c r="J14" s="1">
        <v>1280401.2398400002</v>
      </c>
      <c r="K14" s="1">
        <v>1285316.17379</v>
      </c>
      <c r="L14" s="244">
        <f>(K14-J14)*100/J14</f>
        <v>0.3838588871261885</v>
      </c>
      <c r="M14" s="244">
        <f>(K14-AC14)*100/AC14</f>
        <v>49.477790713955926</v>
      </c>
      <c r="N14" s="14">
        <v>364731</v>
      </c>
      <c r="O14" s="14">
        <v>392102</v>
      </c>
      <c r="P14" s="14">
        <v>413877</v>
      </c>
      <c r="Q14" s="14">
        <v>446389</v>
      </c>
      <c r="R14" s="14">
        <v>476939</v>
      </c>
      <c r="S14" s="14">
        <v>519871</v>
      </c>
      <c r="T14" s="14">
        <v>568439</v>
      </c>
      <c r="U14" s="14">
        <v>594878</v>
      </c>
      <c r="V14" s="14">
        <f>634480202/1000</f>
        <v>634480.202</v>
      </c>
      <c r="W14" s="14">
        <v>658735</v>
      </c>
      <c r="X14" s="14">
        <v>678132</v>
      </c>
      <c r="Y14" s="14">
        <v>704822</v>
      </c>
      <c r="Z14" s="14">
        <v>733527</v>
      </c>
      <c r="AA14" s="14">
        <v>796993</v>
      </c>
      <c r="AB14" s="14">
        <v>846482</v>
      </c>
      <c r="AC14" s="14">
        <v>859871</v>
      </c>
      <c r="AD14" s="14"/>
      <c r="AE14" s="3">
        <v>919756294</v>
      </c>
      <c r="AF14" s="3">
        <f>AE14/1000</f>
        <v>919756.294</v>
      </c>
      <c r="AH14" s="3">
        <v>940241326</v>
      </c>
      <c r="AI14" s="3">
        <f>AH14/1000</f>
        <v>940241.326</v>
      </c>
      <c r="AK14" s="3">
        <v>929248707</v>
      </c>
      <c r="AL14" s="3">
        <f>AK14/1000</f>
        <v>929248.707</v>
      </c>
      <c r="AN14" s="3">
        <v>921163220</v>
      </c>
      <c r="AO14" s="3">
        <f>AN14/1000</f>
        <v>921163.22</v>
      </c>
      <c r="AQ14" s="3">
        <v>1008905432</v>
      </c>
      <c r="AR14" s="3">
        <f>AQ14/1000</f>
        <v>1008905.432</v>
      </c>
      <c r="AT14" s="3">
        <v>1063670917.7199999</v>
      </c>
      <c r="AU14" s="3">
        <f>AT14/1000</f>
        <v>1063670.9177199998</v>
      </c>
      <c r="AW14" s="3">
        <v>1107205763.19</v>
      </c>
      <c r="AX14" s="3">
        <f>AW14/1000</f>
        <v>1107205.76319</v>
      </c>
      <c r="AY14" s="3">
        <v>1229715918.96</v>
      </c>
      <c r="AZ14" s="3">
        <f>AY14/1000</f>
        <v>1229715.91896</v>
      </c>
      <c r="BA14" s="3">
        <v>1280401239.8400002</v>
      </c>
      <c r="BB14" s="3">
        <f>BA14/1000</f>
        <v>1280401.2398400002</v>
      </c>
      <c r="BC14" s="3">
        <v>1285316173.79</v>
      </c>
      <c r="BD14" s="3">
        <f>BC14/1000</f>
        <v>1285316.17379</v>
      </c>
    </row>
    <row r="15" spans="1:56" ht="12.75">
      <c r="A15" s="1" t="s">
        <v>9</v>
      </c>
      <c r="B15" s="1">
        <v>874958</v>
      </c>
      <c r="C15" s="1">
        <v>916581</v>
      </c>
      <c r="D15" s="1">
        <v>963760</v>
      </c>
      <c r="E15" s="1">
        <v>995991</v>
      </c>
      <c r="F15" s="1">
        <v>1040714</v>
      </c>
      <c r="G15" s="1">
        <v>1128744.4739</v>
      </c>
      <c r="H15" s="1">
        <v>1199773.89156</v>
      </c>
      <c r="I15" s="1">
        <v>1273462.0764099997</v>
      </c>
      <c r="J15" s="1">
        <v>1310749.9890700001</v>
      </c>
      <c r="K15" s="1">
        <v>1369149.6275</v>
      </c>
      <c r="L15" s="244">
        <f>(K15-J15)*100/J15</f>
        <v>4.455436880944426</v>
      </c>
      <c r="M15" s="244">
        <f>(K15-AC15)*100/AC15</f>
        <v>71.10990923042698</v>
      </c>
      <c r="N15" s="14">
        <v>347664</v>
      </c>
      <c r="O15" s="14">
        <v>364606</v>
      </c>
      <c r="P15" s="14">
        <v>393111</v>
      </c>
      <c r="Q15" s="14">
        <v>416472</v>
      </c>
      <c r="R15" s="14">
        <v>463102</v>
      </c>
      <c r="S15" s="14">
        <v>502726</v>
      </c>
      <c r="T15" s="14">
        <v>530557</v>
      </c>
      <c r="U15" s="14">
        <v>543781</v>
      </c>
      <c r="V15" s="14">
        <f>563296101/1000</f>
        <v>563296.101</v>
      </c>
      <c r="W15" s="14">
        <v>590180</v>
      </c>
      <c r="X15" s="14">
        <v>643364</v>
      </c>
      <c r="Y15" s="14">
        <v>660732</v>
      </c>
      <c r="Z15" s="14">
        <v>695221</v>
      </c>
      <c r="AA15" s="14">
        <v>733337</v>
      </c>
      <c r="AB15" s="14">
        <v>762882</v>
      </c>
      <c r="AC15" s="14">
        <v>800158</v>
      </c>
      <c r="AD15" s="14"/>
      <c r="AE15" s="3">
        <v>874957882</v>
      </c>
      <c r="AF15" s="3">
        <f>AE15/1000</f>
        <v>874957.882</v>
      </c>
      <c r="AH15" s="3">
        <v>916580835</v>
      </c>
      <c r="AI15" s="3">
        <f>AH15/1000</f>
        <v>916580.835</v>
      </c>
      <c r="AK15" s="3">
        <v>963759846</v>
      </c>
      <c r="AL15" s="3">
        <f>AK15/1000</f>
        <v>963759.846</v>
      </c>
      <c r="AN15" s="3">
        <v>995990822</v>
      </c>
      <c r="AO15" s="3">
        <f>AN15/1000</f>
        <v>995990.822</v>
      </c>
      <c r="AQ15" s="3">
        <v>1040713850</v>
      </c>
      <c r="AR15" s="3">
        <f>AQ15/1000</f>
        <v>1040713.85</v>
      </c>
      <c r="AT15" s="3">
        <v>1128744473.9</v>
      </c>
      <c r="AU15" s="3">
        <f>AT15/1000</f>
        <v>1128744.4739</v>
      </c>
      <c r="AW15" s="3">
        <v>1199773891.56</v>
      </c>
      <c r="AX15" s="3">
        <f>AW15/1000</f>
        <v>1199773.89156</v>
      </c>
      <c r="AY15" s="3">
        <v>1273462076.4099998</v>
      </c>
      <c r="AZ15" s="3">
        <f>AY15/1000</f>
        <v>1273462.0764099997</v>
      </c>
      <c r="BA15" s="3">
        <v>1310749989.0700002</v>
      </c>
      <c r="BB15" s="3">
        <f>BA15/1000</f>
        <v>1310749.9890700001</v>
      </c>
      <c r="BC15" s="3">
        <v>1369149627.5</v>
      </c>
      <c r="BD15" s="3">
        <f>BC15/1000</f>
        <v>1369149.6275</v>
      </c>
    </row>
    <row r="16" spans="1:56" ht="12.75">
      <c r="A16" s="1" t="s">
        <v>10</v>
      </c>
      <c r="B16" s="1">
        <v>116556</v>
      </c>
      <c r="C16" s="1">
        <v>127821</v>
      </c>
      <c r="D16" s="1">
        <v>139319</v>
      </c>
      <c r="E16" s="1">
        <v>150227</v>
      </c>
      <c r="F16" s="1">
        <v>154630</v>
      </c>
      <c r="G16" s="1">
        <v>171693.21777</v>
      </c>
      <c r="H16" s="1">
        <v>181772.0899</v>
      </c>
      <c r="I16" s="1">
        <v>200506.3632</v>
      </c>
      <c r="J16" s="1">
        <v>209782.82953</v>
      </c>
      <c r="K16" s="1">
        <v>215949.57771</v>
      </c>
      <c r="L16" s="244">
        <f>(K16-J16)*100/J16</f>
        <v>2.9395867115607515</v>
      </c>
      <c r="M16" s="244">
        <f>(K16-AC16)*100/AC16</f>
        <v>101.56019536303309</v>
      </c>
      <c r="N16" s="14">
        <v>29244</v>
      </c>
      <c r="O16" s="14">
        <v>31494</v>
      </c>
      <c r="P16" s="14">
        <v>33604</v>
      </c>
      <c r="Q16" s="14">
        <v>37643</v>
      </c>
      <c r="R16" s="14">
        <v>42105</v>
      </c>
      <c r="S16" s="14">
        <v>47443</v>
      </c>
      <c r="T16" s="14">
        <v>53160</v>
      </c>
      <c r="U16" s="14">
        <v>59527</v>
      </c>
      <c r="V16" s="14">
        <f>65203019/1000</f>
        <v>65203.019</v>
      </c>
      <c r="W16" s="14">
        <v>68996</v>
      </c>
      <c r="X16" s="14">
        <v>74084</v>
      </c>
      <c r="Y16" s="14">
        <v>79469</v>
      </c>
      <c r="Z16" s="14">
        <v>85187</v>
      </c>
      <c r="AA16" s="14">
        <v>91777</v>
      </c>
      <c r="AB16" s="14">
        <v>99660</v>
      </c>
      <c r="AC16" s="14">
        <v>107139</v>
      </c>
      <c r="AD16" s="14"/>
      <c r="AE16" s="3">
        <v>116555943</v>
      </c>
      <c r="AF16" s="3">
        <f>AE16/1000</f>
        <v>116555.943</v>
      </c>
      <c r="AH16" s="3">
        <v>127820525</v>
      </c>
      <c r="AI16" s="3">
        <f>AH16/1000</f>
        <v>127820.525</v>
      </c>
      <c r="AK16" s="3">
        <v>139318689</v>
      </c>
      <c r="AL16" s="3">
        <f>AK16/1000</f>
        <v>139318.689</v>
      </c>
      <c r="AN16" s="3">
        <v>150226747</v>
      </c>
      <c r="AO16" s="3">
        <f>AN16/1000</f>
        <v>150226.747</v>
      </c>
      <c r="AQ16" s="3">
        <v>154630212</v>
      </c>
      <c r="AR16" s="3">
        <f>AQ16/1000</f>
        <v>154630.212</v>
      </c>
      <c r="AT16" s="3">
        <v>171693217.76999998</v>
      </c>
      <c r="AU16" s="3">
        <f>AT16/1000</f>
        <v>171693.21777</v>
      </c>
      <c r="AW16" s="3">
        <v>181772089.9</v>
      </c>
      <c r="AX16" s="3">
        <f>AW16/1000</f>
        <v>181772.0899</v>
      </c>
      <c r="AY16" s="3">
        <v>200506363.2</v>
      </c>
      <c r="AZ16" s="3">
        <f>AY16/1000</f>
        <v>200506.3632</v>
      </c>
      <c r="BA16" s="3">
        <v>209782829.53</v>
      </c>
      <c r="BB16" s="3">
        <f>BA16/1000</f>
        <v>209782.82953</v>
      </c>
      <c r="BC16" s="3">
        <v>215949577.71</v>
      </c>
      <c r="BD16" s="3">
        <f>BC16/1000</f>
        <v>215949.57771</v>
      </c>
    </row>
    <row r="17" spans="12:30" ht="12.75">
      <c r="L17" s="244"/>
      <c r="M17" s="24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56" ht="12.75">
      <c r="A18" s="1" t="s">
        <v>11</v>
      </c>
      <c r="B18" s="1">
        <v>38291</v>
      </c>
      <c r="C18" s="1">
        <v>40262</v>
      </c>
      <c r="D18" s="1">
        <v>43477</v>
      </c>
      <c r="E18" s="1">
        <v>45940</v>
      </c>
      <c r="F18" s="1">
        <v>47551</v>
      </c>
      <c r="G18" s="1">
        <v>51356.74895</v>
      </c>
      <c r="H18" s="1">
        <v>56033.79396</v>
      </c>
      <c r="I18" s="1">
        <v>62536.48756</v>
      </c>
      <c r="J18" s="1">
        <v>63745.97619000001</v>
      </c>
      <c r="K18" s="1">
        <v>65118.433110000005</v>
      </c>
      <c r="L18" s="244">
        <f>(K18-J18)*100/J18</f>
        <v>2.1530094949197713</v>
      </c>
      <c r="M18" s="244">
        <f>(K18-AC18)*100/AC18</f>
        <v>74.55217152736827</v>
      </c>
      <c r="N18" s="14">
        <v>13200</v>
      </c>
      <c r="O18" s="14">
        <v>14290</v>
      </c>
      <c r="P18" s="14">
        <v>15692</v>
      </c>
      <c r="Q18" s="14">
        <v>17384</v>
      </c>
      <c r="R18" s="14">
        <v>18917</v>
      </c>
      <c r="S18" s="14">
        <v>20583</v>
      </c>
      <c r="T18" s="14">
        <v>22689</v>
      </c>
      <c r="U18" s="14">
        <v>23965</v>
      </c>
      <c r="V18" s="14">
        <f>25484058/1000</f>
        <v>25484.058</v>
      </c>
      <c r="W18" s="14">
        <v>27296</v>
      </c>
      <c r="X18" s="14">
        <v>29370</v>
      </c>
      <c r="Y18" s="14">
        <v>30778</v>
      </c>
      <c r="Z18" s="14">
        <v>32930</v>
      </c>
      <c r="AA18" s="14">
        <v>34495</v>
      </c>
      <c r="AB18" s="14">
        <v>36824</v>
      </c>
      <c r="AC18" s="14">
        <v>37306</v>
      </c>
      <c r="AD18" s="14"/>
      <c r="AE18" s="3">
        <v>38290787</v>
      </c>
      <c r="AF18" s="3">
        <f>AE18/1000</f>
        <v>38290.787</v>
      </c>
      <c r="AH18" s="3">
        <v>40262201</v>
      </c>
      <c r="AI18" s="3">
        <f>AH18/1000</f>
        <v>40262.201</v>
      </c>
      <c r="AK18" s="3">
        <v>43476861</v>
      </c>
      <c r="AL18" s="3">
        <f>AK18/1000</f>
        <v>43476.861</v>
      </c>
      <c r="AN18" s="3">
        <v>45940351</v>
      </c>
      <c r="AO18" s="3">
        <f>AN18/1000</f>
        <v>45940.351</v>
      </c>
      <c r="AQ18" s="3">
        <v>47551176</v>
      </c>
      <c r="AR18" s="3">
        <f>AQ18/1000</f>
        <v>47551.176</v>
      </c>
      <c r="AT18" s="3">
        <v>51356748.95</v>
      </c>
      <c r="AU18" s="3">
        <f>AT18/1000</f>
        <v>51356.74895</v>
      </c>
      <c r="AW18" s="3">
        <v>56033793.96</v>
      </c>
      <c r="AX18" s="3">
        <f>AW18/1000</f>
        <v>56033.79396</v>
      </c>
      <c r="AY18" s="3">
        <v>62536487.56</v>
      </c>
      <c r="AZ18" s="3">
        <f>AY18/1000</f>
        <v>62536.48756</v>
      </c>
      <c r="BA18" s="3">
        <v>63745976.190000005</v>
      </c>
      <c r="BB18" s="3">
        <f>BA18/1000</f>
        <v>63745.97619000001</v>
      </c>
      <c r="BC18" s="3">
        <v>65118433.11000001</v>
      </c>
      <c r="BD18" s="3">
        <f aca="true" t="shared" si="4" ref="BD18:BD39">BC18/1000</f>
        <v>65118.433110000005</v>
      </c>
    </row>
    <row r="19" spans="1:56" ht="12.75">
      <c r="A19" s="1" t="s">
        <v>12</v>
      </c>
      <c r="B19" s="1">
        <v>195968</v>
      </c>
      <c r="C19" s="1">
        <v>207135</v>
      </c>
      <c r="D19" s="1">
        <v>223104</v>
      </c>
      <c r="E19" s="1">
        <v>237850</v>
      </c>
      <c r="F19" s="1">
        <v>247218</v>
      </c>
      <c r="G19" s="1">
        <v>275687.89953999995</v>
      </c>
      <c r="H19" s="1">
        <v>296818.5659</v>
      </c>
      <c r="I19" s="1">
        <v>322759.80457000004</v>
      </c>
      <c r="J19" s="1">
        <v>342385.99486000004</v>
      </c>
      <c r="K19" s="1">
        <v>349472.47091999993</v>
      </c>
      <c r="L19" s="244">
        <f>(K19-J19)*100/J19</f>
        <v>2.069733040014538</v>
      </c>
      <c r="M19" s="244">
        <f>(K19-AC19)*100/AC19</f>
        <v>89.90179261851453</v>
      </c>
      <c r="N19" s="14">
        <v>58701</v>
      </c>
      <c r="O19" s="14">
        <v>63599</v>
      </c>
      <c r="P19" s="14">
        <v>69351</v>
      </c>
      <c r="Q19" s="14">
        <v>78655</v>
      </c>
      <c r="R19" s="14">
        <v>89068</v>
      </c>
      <c r="S19" s="14">
        <v>98450</v>
      </c>
      <c r="T19" s="14">
        <v>109672</v>
      </c>
      <c r="U19" s="14">
        <v>115356</v>
      </c>
      <c r="V19" s="14">
        <f>122294498/1000</f>
        <v>122294.498</v>
      </c>
      <c r="W19" s="14">
        <v>130726</v>
      </c>
      <c r="X19" s="14">
        <v>143102</v>
      </c>
      <c r="Y19" s="14">
        <v>147472</v>
      </c>
      <c r="Z19" s="14">
        <v>154711</v>
      </c>
      <c r="AA19" s="14">
        <v>164890</v>
      </c>
      <c r="AB19" s="14">
        <v>176517</v>
      </c>
      <c r="AC19" s="14">
        <v>184028</v>
      </c>
      <c r="AD19" s="14"/>
      <c r="AE19" s="3">
        <v>195967598</v>
      </c>
      <c r="AF19" s="3">
        <f>AE19/1000</f>
        <v>195967.598</v>
      </c>
      <c r="AH19" s="3">
        <v>207134889</v>
      </c>
      <c r="AI19" s="3">
        <f>AH19/1000</f>
        <v>207134.889</v>
      </c>
      <c r="AK19" s="3">
        <v>223103763</v>
      </c>
      <c r="AL19" s="3">
        <f>AK19/1000</f>
        <v>223103.763</v>
      </c>
      <c r="AN19" s="3">
        <v>237849954</v>
      </c>
      <c r="AO19" s="3">
        <f>AN19/1000</f>
        <v>237849.954</v>
      </c>
      <c r="AQ19" s="3">
        <v>247217789</v>
      </c>
      <c r="AR19" s="3">
        <f>AQ19/1000</f>
        <v>247217.789</v>
      </c>
      <c r="AT19" s="3">
        <v>275687899.53999996</v>
      </c>
      <c r="AU19" s="3">
        <f>AT19/1000</f>
        <v>275687.89953999995</v>
      </c>
      <c r="AW19" s="3">
        <v>296818565.9</v>
      </c>
      <c r="AX19" s="3">
        <f>AW19/1000</f>
        <v>296818.5659</v>
      </c>
      <c r="AY19" s="3">
        <v>322759804.57000005</v>
      </c>
      <c r="AZ19" s="3">
        <f>AY19/1000</f>
        <v>322759.80457000004</v>
      </c>
      <c r="BA19" s="3">
        <v>342385994.86</v>
      </c>
      <c r="BB19" s="3">
        <f>BA19/1000</f>
        <v>342385.99486000004</v>
      </c>
      <c r="BC19" s="3">
        <v>349472470.91999996</v>
      </c>
      <c r="BD19" s="3">
        <f t="shared" si="4"/>
        <v>349472.47091999993</v>
      </c>
    </row>
    <row r="20" spans="1:56" ht="12.75">
      <c r="A20" s="1" t="s">
        <v>13</v>
      </c>
      <c r="B20" s="1">
        <v>111310</v>
      </c>
      <c r="C20" s="1">
        <v>117833</v>
      </c>
      <c r="D20" s="1">
        <v>126888</v>
      </c>
      <c r="E20" s="1">
        <v>133840</v>
      </c>
      <c r="F20" s="1">
        <v>141188</v>
      </c>
      <c r="G20" s="1">
        <v>157337.75283</v>
      </c>
      <c r="H20" s="1">
        <v>169500.00266</v>
      </c>
      <c r="I20" s="1">
        <v>182216.77766</v>
      </c>
      <c r="J20" s="1">
        <v>190237.68518</v>
      </c>
      <c r="K20" s="1">
        <v>191255.77365000005</v>
      </c>
      <c r="L20" s="244">
        <f>(K20-J20)*100/J20</f>
        <v>0.5351665570555836</v>
      </c>
      <c r="M20" s="244">
        <f>(K20-AC20)*100/AC20</f>
        <v>85.97591735625593</v>
      </c>
      <c r="N20" s="14">
        <v>36853</v>
      </c>
      <c r="O20" s="14">
        <v>39228</v>
      </c>
      <c r="P20" s="14">
        <v>42895</v>
      </c>
      <c r="Q20" s="14">
        <v>46438</v>
      </c>
      <c r="R20" s="14">
        <v>51269</v>
      </c>
      <c r="S20" s="14">
        <v>57387</v>
      </c>
      <c r="T20" s="14">
        <v>62796</v>
      </c>
      <c r="U20" s="14">
        <v>66949</v>
      </c>
      <c r="V20" s="14">
        <f>68698870/1000</f>
        <v>68698.87</v>
      </c>
      <c r="W20" s="14">
        <v>74118</v>
      </c>
      <c r="X20" s="14">
        <v>79214</v>
      </c>
      <c r="Y20" s="14">
        <v>81961</v>
      </c>
      <c r="Z20" s="14">
        <v>85699</v>
      </c>
      <c r="AA20" s="14">
        <v>91123</v>
      </c>
      <c r="AB20" s="14">
        <v>98374</v>
      </c>
      <c r="AC20" s="14">
        <v>102839</v>
      </c>
      <c r="AD20" s="14"/>
      <c r="AE20" s="3">
        <v>111310489</v>
      </c>
      <c r="AF20" s="3">
        <f>AE20/1000</f>
        <v>111310.489</v>
      </c>
      <c r="AH20" s="3">
        <v>117832770</v>
      </c>
      <c r="AI20" s="3">
        <f>AH20/1000</f>
        <v>117832.77</v>
      </c>
      <c r="AK20" s="3">
        <v>126887944</v>
      </c>
      <c r="AL20" s="3">
        <f>AK20/1000</f>
        <v>126887.944</v>
      </c>
      <c r="AN20" s="3">
        <v>133839646</v>
      </c>
      <c r="AO20" s="3">
        <f>AN20/1000</f>
        <v>133839.646</v>
      </c>
      <c r="AQ20" s="3">
        <v>141188103</v>
      </c>
      <c r="AR20" s="3">
        <f>AQ20/1000</f>
        <v>141188.103</v>
      </c>
      <c r="AT20" s="3">
        <v>157337752.83</v>
      </c>
      <c r="AU20" s="3">
        <f>AT20/1000</f>
        <v>157337.75283</v>
      </c>
      <c r="AW20" s="3">
        <v>169500002.66</v>
      </c>
      <c r="AX20" s="3">
        <f>AW20/1000</f>
        <v>169500.00266</v>
      </c>
      <c r="AY20" s="3">
        <v>182216777.66</v>
      </c>
      <c r="AZ20" s="3">
        <f>AY20/1000</f>
        <v>182216.77766</v>
      </c>
      <c r="BA20" s="3">
        <v>190237685.18</v>
      </c>
      <c r="BB20" s="3">
        <f>BA20/1000</f>
        <v>190237.68518</v>
      </c>
      <c r="BC20" s="3">
        <v>191255773.65000004</v>
      </c>
      <c r="BD20" s="3">
        <f t="shared" si="4"/>
        <v>191255.77365000005</v>
      </c>
    </row>
    <row r="21" spans="1:56" ht="12.75">
      <c r="A21" s="1" t="s">
        <v>14</v>
      </c>
      <c r="B21" s="1">
        <v>167431</v>
      </c>
      <c r="C21" s="1">
        <v>179349</v>
      </c>
      <c r="D21" s="1">
        <v>194528</v>
      </c>
      <c r="E21" s="1">
        <v>209001</v>
      </c>
      <c r="F21" s="1">
        <v>219730</v>
      </c>
      <c r="G21" s="1">
        <v>252904.33974</v>
      </c>
      <c r="H21" s="1">
        <v>278570.00789</v>
      </c>
      <c r="I21" s="1">
        <v>311723.37563</v>
      </c>
      <c r="J21" s="1">
        <v>326875.66616</v>
      </c>
      <c r="K21" s="1">
        <v>334178.32190000004</v>
      </c>
      <c r="L21" s="244">
        <f>(K21-J21)*100/J21</f>
        <v>2.2340775089772182</v>
      </c>
      <c r="M21" s="244">
        <f>(K21-AC21)*100/AC21</f>
        <v>111.0977681690408</v>
      </c>
      <c r="N21" s="14">
        <v>53594</v>
      </c>
      <c r="O21" s="14">
        <v>59192</v>
      </c>
      <c r="P21" s="14">
        <v>64594</v>
      </c>
      <c r="Q21" s="14">
        <v>70363</v>
      </c>
      <c r="R21" s="14">
        <v>78084</v>
      </c>
      <c r="S21" s="14">
        <v>90253</v>
      </c>
      <c r="T21" s="14">
        <v>98065</v>
      </c>
      <c r="U21" s="14">
        <v>103805</v>
      </c>
      <c r="V21" s="14">
        <f>109492360/1000</f>
        <v>109492.36</v>
      </c>
      <c r="W21" s="14">
        <v>115495</v>
      </c>
      <c r="X21" s="14">
        <v>122848</v>
      </c>
      <c r="Y21" s="14">
        <v>125269</v>
      </c>
      <c r="Z21" s="14">
        <v>130949</v>
      </c>
      <c r="AA21" s="14">
        <v>140938</v>
      </c>
      <c r="AB21" s="14">
        <v>147233</v>
      </c>
      <c r="AC21" s="14">
        <v>158305</v>
      </c>
      <c r="AD21" s="14"/>
      <c r="AE21" s="3">
        <v>167431305</v>
      </c>
      <c r="AF21" s="3">
        <f>AE21/1000</f>
        <v>167431.305</v>
      </c>
      <c r="AH21" s="3">
        <v>179349446</v>
      </c>
      <c r="AI21" s="3">
        <f>AH21/1000</f>
        <v>179349.446</v>
      </c>
      <c r="AK21" s="3">
        <v>194527510</v>
      </c>
      <c r="AL21" s="3">
        <f>AK21/1000</f>
        <v>194527.51</v>
      </c>
      <c r="AN21" s="3">
        <v>209001256</v>
      </c>
      <c r="AO21" s="3">
        <f>AN21/1000</f>
        <v>209001.256</v>
      </c>
      <c r="AQ21" s="3">
        <v>219729570</v>
      </c>
      <c r="AR21" s="3">
        <f>AQ21/1000</f>
        <v>219729.57</v>
      </c>
      <c r="AT21" s="3">
        <v>252904339.74</v>
      </c>
      <c r="AU21" s="3">
        <f>AT21/1000</f>
        <v>252904.33974</v>
      </c>
      <c r="AW21" s="3">
        <v>278570007.89</v>
      </c>
      <c r="AX21" s="3">
        <f>AW21/1000</f>
        <v>278570.00789</v>
      </c>
      <c r="AY21" s="3">
        <v>311723375.63</v>
      </c>
      <c r="AZ21" s="3">
        <f>AY21/1000</f>
        <v>311723.37563</v>
      </c>
      <c r="BA21" s="3">
        <v>326875666.16</v>
      </c>
      <c r="BB21" s="3">
        <f>BA21/1000</f>
        <v>326875.66616</v>
      </c>
      <c r="BC21" s="3">
        <v>334178321.90000004</v>
      </c>
      <c r="BD21" s="3">
        <f t="shared" si="4"/>
        <v>334178.32190000004</v>
      </c>
    </row>
    <row r="22" spans="1:56" ht="12.75">
      <c r="A22" s="1" t="s">
        <v>15</v>
      </c>
      <c r="B22" s="1">
        <v>39987</v>
      </c>
      <c r="C22" s="1">
        <v>39809</v>
      </c>
      <c r="D22" s="1">
        <v>41614</v>
      </c>
      <c r="E22" s="1">
        <v>43620</v>
      </c>
      <c r="F22" s="1">
        <v>45791</v>
      </c>
      <c r="G22" s="1">
        <v>48132.33844</v>
      </c>
      <c r="H22" s="1">
        <v>50771.67697</v>
      </c>
      <c r="I22" s="1">
        <v>56189.151119999995</v>
      </c>
      <c r="J22" s="1">
        <v>56779.34212</v>
      </c>
      <c r="K22" s="1">
        <v>56612.80669</v>
      </c>
      <c r="L22" s="244">
        <f>(K22-J22)*100/J22</f>
        <v>-0.29330285237902215</v>
      </c>
      <c r="M22" s="244">
        <f>(K22-AC22)*100/AC22</f>
        <v>49.429358311777435</v>
      </c>
      <c r="N22" s="14">
        <v>17223</v>
      </c>
      <c r="O22" s="14">
        <v>18557</v>
      </c>
      <c r="P22" s="14">
        <v>19284</v>
      </c>
      <c r="Q22" s="14">
        <v>20539</v>
      </c>
      <c r="R22" s="14">
        <v>22379</v>
      </c>
      <c r="S22" s="14">
        <v>24707</v>
      </c>
      <c r="T22" s="14">
        <v>26005</v>
      </c>
      <c r="U22" s="14">
        <v>26331</v>
      </c>
      <c r="V22" s="14">
        <f>26929614/1000</f>
        <v>26929.614</v>
      </c>
      <c r="W22" s="14">
        <v>28762</v>
      </c>
      <c r="X22" s="14">
        <v>30942</v>
      </c>
      <c r="Y22" s="14">
        <v>31637</v>
      </c>
      <c r="Z22" s="14">
        <v>33570</v>
      </c>
      <c r="AA22" s="14">
        <v>35145</v>
      </c>
      <c r="AB22" s="14">
        <v>36158</v>
      </c>
      <c r="AC22" s="14">
        <v>37886</v>
      </c>
      <c r="AD22" s="14"/>
      <c r="AE22" s="3">
        <v>39987149</v>
      </c>
      <c r="AF22" s="3">
        <f>AE22/1000</f>
        <v>39987.149</v>
      </c>
      <c r="AH22" s="3">
        <v>39809349</v>
      </c>
      <c r="AI22" s="3">
        <f>AH22/1000</f>
        <v>39809.349</v>
      </c>
      <c r="AK22" s="3">
        <v>41614130</v>
      </c>
      <c r="AL22" s="3">
        <f>AK22/1000</f>
        <v>41614.13</v>
      </c>
      <c r="AN22" s="3">
        <v>43620370</v>
      </c>
      <c r="AO22" s="3">
        <f>AN22/1000</f>
        <v>43620.37</v>
      </c>
      <c r="AQ22" s="3">
        <v>45790721</v>
      </c>
      <c r="AR22" s="3">
        <f>AQ22/1000</f>
        <v>45790.721</v>
      </c>
      <c r="AT22" s="3">
        <v>48132338.44</v>
      </c>
      <c r="AU22" s="3">
        <f>AT22/1000</f>
        <v>48132.33844</v>
      </c>
      <c r="AW22" s="3">
        <v>50771676.97</v>
      </c>
      <c r="AX22" s="3">
        <f>AW22/1000</f>
        <v>50771.67697</v>
      </c>
      <c r="AY22" s="3">
        <v>56189151.12</v>
      </c>
      <c r="AZ22" s="3">
        <f>AY22/1000</f>
        <v>56189.151119999995</v>
      </c>
      <c r="BA22" s="3">
        <v>56779342.120000005</v>
      </c>
      <c r="BB22" s="3">
        <f>BA22/1000</f>
        <v>56779.34212</v>
      </c>
      <c r="BC22" s="3">
        <v>56612806.69</v>
      </c>
      <c r="BD22" s="3">
        <f t="shared" si="4"/>
        <v>56612.80669</v>
      </c>
    </row>
    <row r="23" spans="12:30" ht="12.75">
      <c r="L23" s="244"/>
      <c r="M23" s="24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56" ht="12.75">
      <c r="A24" s="1" t="s">
        <v>16</v>
      </c>
      <c r="B24" s="1">
        <v>259886</v>
      </c>
      <c r="C24" s="1">
        <v>279707</v>
      </c>
      <c r="D24" s="1">
        <v>301771</v>
      </c>
      <c r="E24" s="1">
        <v>323651</v>
      </c>
      <c r="F24" s="1">
        <v>337833</v>
      </c>
      <c r="G24" s="1">
        <v>376870.64498000004</v>
      </c>
      <c r="H24" s="1">
        <v>410150.24592</v>
      </c>
      <c r="I24" s="1">
        <v>468578.65179999993</v>
      </c>
      <c r="J24" s="1">
        <v>489491.01265000005</v>
      </c>
      <c r="K24" s="1">
        <v>480171.65534</v>
      </c>
      <c r="L24" s="244">
        <f>(K24-J24)*100/J24</f>
        <v>-1.9038873174702504</v>
      </c>
      <c r="M24" s="244">
        <f>(K24-AC24)*100/AC24</f>
        <v>101.08701247131346</v>
      </c>
      <c r="N24" s="14">
        <v>75384</v>
      </c>
      <c r="O24" s="14">
        <v>81537</v>
      </c>
      <c r="P24" s="14">
        <v>90178</v>
      </c>
      <c r="Q24" s="14">
        <v>99880</v>
      </c>
      <c r="R24" s="14">
        <v>112533</v>
      </c>
      <c r="S24" s="14">
        <v>126428</v>
      </c>
      <c r="T24" s="14">
        <v>139187</v>
      </c>
      <c r="U24" s="14">
        <v>146964</v>
      </c>
      <c r="V24" s="14">
        <f>154712888/1000</f>
        <v>154712.888</v>
      </c>
      <c r="W24" s="14">
        <v>166137</v>
      </c>
      <c r="X24" s="14">
        <v>180856</v>
      </c>
      <c r="Y24" s="14">
        <v>189782</v>
      </c>
      <c r="Z24" s="14">
        <v>199618</v>
      </c>
      <c r="AA24" s="14">
        <v>212892</v>
      </c>
      <c r="AB24" s="14">
        <v>224989</v>
      </c>
      <c r="AC24" s="14">
        <v>238788</v>
      </c>
      <c r="AD24" s="14"/>
      <c r="AE24" s="3">
        <v>259886317</v>
      </c>
      <c r="AF24" s="3">
        <f>AE24/1000</f>
        <v>259886.317</v>
      </c>
      <c r="AH24" s="3">
        <v>279706828</v>
      </c>
      <c r="AI24" s="3">
        <f>AH24/1000</f>
        <v>279706.828</v>
      </c>
      <c r="AK24" s="3">
        <v>301771067</v>
      </c>
      <c r="AL24" s="3">
        <f>AK24/1000</f>
        <v>301771.067</v>
      </c>
      <c r="AN24" s="3">
        <v>323650507</v>
      </c>
      <c r="AO24" s="3">
        <f>AN24/1000</f>
        <v>323650.507</v>
      </c>
      <c r="AQ24" s="3">
        <v>337832586</v>
      </c>
      <c r="AR24" s="3">
        <f>AQ24/1000</f>
        <v>337832.586</v>
      </c>
      <c r="AT24" s="3">
        <v>376870644.98</v>
      </c>
      <c r="AU24" s="3">
        <f>AT24/1000</f>
        <v>376870.64498000004</v>
      </c>
      <c r="AW24" s="3">
        <v>410150245.92</v>
      </c>
      <c r="AX24" s="3">
        <f>AW24/1000</f>
        <v>410150.24592</v>
      </c>
      <c r="AY24" s="3">
        <v>468578651.79999995</v>
      </c>
      <c r="AZ24" s="3">
        <f>AY24/1000</f>
        <v>468578.65179999993</v>
      </c>
      <c r="BA24" s="3">
        <v>489491012.65000004</v>
      </c>
      <c r="BB24" s="3">
        <f>BA24/1000</f>
        <v>489491.01265000005</v>
      </c>
      <c r="BC24" s="3">
        <v>480171655.34</v>
      </c>
      <c r="BD24" s="3">
        <f t="shared" si="4"/>
        <v>480171.65534</v>
      </c>
    </row>
    <row r="25" spans="1:56" ht="12.75">
      <c r="A25" s="1" t="s">
        <v>17</v>
      </c>
      <c r="B25" s="1">
        <v>38977</v>
      </c>
      <c r="C25" s="1">
        <v>40406</v>
      </c>
      <c r="D25" s="1">
        <v>42314</v>
      </c>
      <c r="E25" s="1">
        <v>44554</v>
      </c>
      <c r="F25" s="1">
        <v>45303</v>
      </c>
      <c r="G25" s="1">
        <v>47970.326270000005</v>
      </c>
      <c r="H25" s="1">
        <v>49773.0227</v>
      </c>
      <c r="I25" s="1">
        <v>54733.85349999999</v>
      </c>
      <c r="J25" s="1">
        <v>55841.300599999995</v>
      </c>
      <c r="K25" s="1">
        <v>57085.55473</v>
      </c>
      <c r="L25" s="244">
        <f>(K25-J25)*100/J25</f>
        <v>2.2281969019897945</v>
      </c>
      <c r="M25" s="244">
        <f>(K25-AC25)*100/AC25</f>
        <v>53.28684710399829</v>
      </c>
      <c r="N25" s="14">
        <v>16300</v>
      </c>
      <c r="O25" s="14">
        <v>18239</v>
      </c>
      <c r="P25" s="14">
        <v>19317</v>
      </c>
      <c r="Q25" s="14">
        <v>20941</v>
      </c>
      <c r="R25" s="14">
        <v>22889</v>
      </c>
      <c r="S25" s="14">
        <v>25003</v>
      </c>
      <c r="T25" s="14">
        <v>28358</v>
      </c>
      <c r="U25" s="14">
        <v>27211</v>
      </c>
      <c r="V25" s="14">
        <f>28378866/1000</f>
        <v>28378.866</v>
      </c>
      <c r="W25" s="14">
        <v>29932</v>
      </c>
      <c r="X25" s="14">
        <v>30691</v>
      </c>
      <c r="Y25" s="14">
        <v>31873</v>
      </c>
      <c r="Z25" s="14">
        <v>33171</v>
      </c>
      <c r="AA25" s="14">
        <v>34351</v>
      </c>
      <c r="AB25" s="14">
        <v>36383</v>
      </c>
      <c r="AC25" s="14">
        <v>37241</v>
      </c>
      <c r="AD25" s="14"/>
      <c r="AE25" s="3">
        <v>38976929</v>
      </c>
      <c r="AF25" s="3">
        <f>AE25/1000</f>
        <v>38976.929</v>
      </c>
      <c r="AH25" s="3">
        <v>40406322</v>
      </c>
      <c r="AI25" s="3">
        <f>AH25/1000</f>
        <v>40406.322</v>
      </c>
      <c r="AK25" s="3">
        <v>42313668</v>
      </c>
      <c r="AL25" s="3">
        <f>AK25/1000</f>
        <v>42313.668</v>
      </c>
      <c r="AN25" s="3">
        <v>44553793</v>
      </c>
      <c r="AO25" s="3">
        <f>AN25/1000</f>
        <v>44553.793</v>
      </c>
      <c r="AQ25" s="3">
        <v>45303253</v>
      </c>
      <c r="AR25" s="3">
        <f>AQ25/1000</f>
        <v>45303.253</v>
      </c>
      <c r="AT25" s="3">
        <v>47970326.27</v>
      </c>
      <c r="AU25" s="3">
        <f>AT25/1000</f>
        <v>47970.326270000005</v>
      </c>
      <c r="AW25" s="3">
        <v>49773022.7</v>
      </c>
      <c r="AX25" s="3">
        <f>AW25/1000</f>
        <v>49773.0227</v>
      </c>
      <c r="AY25" s="3">
        <v>54733853.49999999</v>
      </c>
      <c r="AZ25" s="3">
        <f>AY25/1000</f>
        <v>54733.85349999999</v>
      </c>
      <c r="BA25" s="3">
        <v>55841300.599999994</v>
      </c>
      <c r="BB25" s="3">
        <f>BA25/1000</f>
        <v>55841.300599999995</v>
      </c>
      <c r="BC25" s="3">
        <v>57085554.730000004</v>
      </c>
      <c r="BD25" s="3">
        <f t="shared" si="4"/>
        <v>57085.55473</v>
      </c>
    </row>
    <row r="26" spans="1:56" ht="12.75">
      <c r="A26" s="1" t="s">
        <v>18</v>
      </c>
      <c r="B26" s="1">
        <v>271523</v>
      </c>
      <c r="C26" s="1">
        <v>288793</v>
      </c>
      <c r="D26" s="1">
        <v>305218</v>
      </c>
      <c r="E26" s="1">
        <v>320434</v>
      </c>
      <c r="F26" s="1">
        <v>333071</v>
      </c>
      <c r="G26" s="1">
        <v>384893.2697</v>
      </c>
      <c r="H26" s="1">
        <v>418095.6939400001</v>
      </c>
      <c r="I26" s="1">
        <v>454490.59314</v>
      </c>
      <c r="J26" s="1">
        <v>465946.9655300001</v>
      </c>
      <c r="K26" s="1">
        <v>482599.08681999997</v>
      </c>
      <c r="L26" s="244">
        <f>(K26-J26)*100/J26</f>
        <v>3.5738233150759116</v>
      </c>
      <c r="M26" s="244">
        <f>(K26-AC26)*100/AC26</f>
        <v>91.49921504220052</v>
      </c>
      <c r="N26" s="14">
        <v>87184</v>
      </c>
      <c r="O26" s="14">
        <v>93262</v>
      </c>
      <c r="P26" s="14">
        <v>101626</v>
      </c>
      <c r="Q26" s="14">
        <v>110388</v>
      </c>
      <c r="R26" s="14">
        <v>121661</v>
      </c>
      <c r="S26" s="14">
        <v>135641</v>
      </c>
      <c r="T26" s="14">
        <v>151025</v>
      </c>
      <c r="U26" s="14">
        <v>160235</v>
      </c>
      <c r="V26" s="14">
        <f>173681021/1000</f>
        <v>173681.021</v>
      </c>
      <c r="W26" s="14">
        <v>185580</v>
      </c>
      <c r="X26" s="14">
        <v>198372</v>
      </c>
      <c r="Y26" s="14">
        <v>210676</v>
      </c>
      <c r="Z26" s="14">
        <v>220112</v>
      </c>
      <c r="AA26" s="14">
        <v>232231</v>
      </c>
      <c r="AB26" s="14">
        <v>241889</v>
      </c>
      <c r="AC26" s="14">
        <v>252011</v>
      </c>
      <c r="AD26" s="14"/>
      <c r="AE26" s="3">
        <v>271522776</v>
      </c>
      <c r="AF26" s="3">
        <f>AE26/1000</f>
        <v>271522.776</v>
      </c>
      <c r="AH26" s="3">
        <v>288792840</v>
      </c>
      <c r="AI26" s="3">
        <f>AH26/1000</f>
        <v>288792.84</v>
      </c>
      <c r="AK26" s="3">
        <v>305217930</v>
      </c>
      <c r="AL26" s="3">
        <f>AK26/1000</f>
        <v>305217.93</v>
      </c>
      <c r="AN26" s="3">
        <v>320433917</v>
      </c>
      <c r="AO26" s="3">
        <f>AN26/1000</f>
        <v>320433.917</v>
      </c>
      <c r="AQ26" s="3">
        <v>333071314</v>
      </c>
      <c r="AR26" s="3">
        <f>AQ26/1000</f>
        <v>333071.314</v>
      </c>
      <c r="AT26" s="3">
        <v>384893269.7</v>
      </c>
      <c r="AU26" s="3">
        <f>AT26/1000</f>
        <v>384893.2697</v>
      </c>
      <c r="AW26" s="3">
        <v>418095693.94000006</v>
      </c>
      <c r="AX26" s="3">
        <f>AW26/1000</f>
        <v>418095.6939400001</v>
      </c>
      <c r="AY26" s="3">
        <v>454490593.14</v>
      </c>
      <c r="AZ26" s="3">
        <f>AY26/1000</f>
        <v>454490.59314</v>
      </c>
      <c r="BA26" s="3">
        <v>465946965.5300001</v>
      </c>
      <c r="BB26" s="3">
        <f>BA26/1000</f>
        <v>465946.9655300001</v>
      </c>
      <c r="BC26" s="3">
        <v>482599086.82</v>
      </c>
      <c r="BD26" s="3">
        <f t="shared" si="4"/>
        <v>482599.08681999997</v>
      </c>
    </row>
    <row r="27" spans="1:56" ht="12.75">
      <c r="A27" s="1" t="s">
        <v>19</v>
      </c>
      <c r="B27" s="1">
        <v>405466</v>
      </c>
      <c r="C27" s="1">
        <v>406996</v>
      </c>
      <c r="D27" s="1">
        <v>438442</v>
      </c>
      <c r="E27" s="1">
        <v>477018</v>
      </c>
      <c r="F27" s="1">
        <v>485975</v>
      </c>
      <c r="G27" s="1">
        <v>553371.1823699999</v>
      </c>
      <c r="H27" s="1">
        <v>603542.18958</v>
      </c>
      <c r="I27" s="1">
        <v>672811.8829099999</v>
      </c>
      <c r="J27" s="1">
        <v>722210.77538</v>
      </c>
      <c r="K27" s="1">
        <v>733342.3344900002</v>
      </c>
      <c r="L27" s="244">
        <f>(K27-J27)*100/J27</f>
        <v>1.5413172289132826</v>
      </c>
      <c r="M27" s="244">
        <f>(K27-AC27)*100/AC27</f>
        <v>117.89931822814377</v>
      </c>
      <c r="N27" s="14">
        <v>100203</v>
      </c>
      <c r="O27" s="14">
        <v>109561</v>
      </c>
      <c r="P27" s="14">
        <v>124154</v>
      </c>
      <c r="Q27" s="14">
        <v>136741</v>
      </c>
      <c r="R27" s="14">
        <v>156259</v>
      </c>
      <c r="S27" s="14">
        <v>178254</v>
      </c>
      <c r="T27" s="14">
        <v>205336</v>
      </c>
      <c r="U27" s="14">
        <v>202147</v>
      </c>
      <c r="V27" s="14">
        <f>214253511/1000</f>
        <v>214253.511</v>
      </c>
      <c r="W27" s="14">
        <v>229112</v>
      </c>
      <c r="X27" s="14">
        <v>247525</v>
      </c>
      <c r="Y27" s="14">
        <v>260197</v>
      </c>
      <c r="Z27" s="14">
        <v>270201</v>
      </c>
      <c r="AA27" s="14">
        <v>287508</v>
      </c>
      <c r="AB27" s="14">
        <v>312913</v>
      </c>
      <c r="AC27" s="14">
        <v>336551</v>
      </c>
      <c r="AD27" s="14"/>
      <c r="AE27" s="3">
        <v>405466159</v>
      </c>
      <c r="AF27" s="3">
        <f>AE27/1000</f>
        <v>405466.159</v>
      </c>
      <c r="AH27" s="3">
        <v>406995706</v>
      </c>
      <c r="AI27" s="3">
        <f>AH27/1000</f>
        <v>406995.706</v>
      </c>
      <c r="AK27" s="3">
        <v>438441855</v>
      </c>
      <c r="AL27" s="3">
        <f>AK27/1000</f>
        <v>438441.855</v>
      </c>
      <c r="AN27" s="3">
        <v>477018130</v>
      </c>
      <c r="AO27" s="3">
        <f>AN27/1000</f>
        <v>477018.13</v>
      </c>
      <c r="AQ27" s="3">
        <v>485975326</v>
      </c>
      <c r="AR27" s="3">
        <f>AQ27/1000</f>
        <v>485975.326</v>
      </c>
      <c r="AT27" s="3">
        <v>553371182.3699999</v>
      </c>
      <c r="AU27" s="3">
        <f>AT27/1000</f>
        <v>553371.1823699999</v>
      </c>
      <c r="AW27" s="3">
        <v>603542189.58</v>
      </c>
      <c r="AX27" s="3">
        <f>AW27/1000</f>
        <v>603542.18958</v>
      </c>
      <c r="AY27" s="3">
        <v>672811882.91</v>
      </c>
      <c r="AZ27" s="3">
        <f>AY27/1000</f>
        <v>672811.8829099999</v>
      </c>
      <c r="BA27" s="3">
        <v>722210775.38</v>
      </c>
      <c r="BB27" s="3">
        <f>BA27/1000</f>
        <v>722210.77538</v>
      </c>
      <c r="BC27" s="3">
        <v>733342334.4900001</v>
      </c>
      <c r="BD27" s="3">
        <f t="shared" si="4"/>
        <v>733342.3344900002</v>
      </c>
    </row>
    <row r="28" spans="1:56" ht="12.75">
      <c r="A28" s="1" t="s">
        <v>20</v>
      </c>
      <c r="B28" s="1">
        <v>24240</v>
      </c>
      <c r="C28" s="1">
        <v>26255</v>
      </c>
      <c r="D28" s="1">
        <v>26945</v>
      </c>
      <c r="E28" s="1">
        <v>25803</v>
      </c>
      <c r="F28" s="1">
        <v>26788</v>
      </c>
      <c r="G28" s="1">
        <v>27275.56539</v>
      </c>
      <c r="H28" s="1">
        <v>28951.73663</v>
      </c>
      <c r="I28" s="1">
        <v>30686.653009999998</v>
      </c>
      <c r="J28" s="1">
        <v>32317.72455</v>
      </c>
      <c r="K28" s="1">
        <v>33512.60232</v>
      </c>
      <c r="L28" s="244">
        <f>(K28-J28)*100/J28</f>
        <v>3.6972831059048037</v>
      </c>
      <c r="M28" s="244">
        <f>(K28-AC28)*100/AC28</f>
        <v>47.67164149114303</v>
      </c>
      <c r="N28" s="14">
        <v>8786</v>
      </c>
      <c r="O28" s="14">
        <v>9524</v>
      </c>
      <c r="P28" s="14">
        <v>10455</v>
      </c>
      <c r="Q28" s="14">
        <v>10985</v>
      </c>
      <c r="R28" s="14">
        <v>12817</v>
      </c>
      <c r="S28" s="14">
        <v>14191</v>
      </c>
      <c r="T28" s="14">
        <v>14989</v>
      </c>
      <c r="U28" s="14">
        <v>15127</v>
      </c>
      <c r="V28" s="14">
        <f>15761349/1000</f>
        <v>15761.349</v>
      </c>
      <c r="W28" s="14">
        <v>17125</v>
      </c>
      <c r="X28" s="14">
        <v>18095</v>
      </c>
      <c r="Y28" s="14">
        <v>18854</v>
      </c>
      <c r="Z28" s="14">
        <v>19521</v>
      </c>
      <c r="AA28" s="14">
        <v>20739</v>
      </c>
      <c r="AB28" s="14">
        <v>21890</v>
      </c>
      <c r="AC28" s="14">
        <v>22694</v>
      </c>
      <c r="AD28" s="14"/>
      <c r="AE28" s="3">
        <v>24240126</v>
      </c>
      <c r="AF28" s="3">
        <f>AE28/1000</f>
        <v>24240.126</v>
      </c>
      <c r="AH28" s="3">
        <v>26254730</v>
      </c>
      <c r="AI28" s="3">
        <f>AH28/1000</f>
        <v>26254.73</v>
      </c>
      <c r="AK28" s="3">
        <v>26944565</v>
      </c>
      <c r="AL28" s="3">
        <f>AK28/1000</f>
        <v>26944.565</v>
      </c>
      <c r="AN28" s="3">
        <v>25802894</v>
      </c>
      <c r="AO28" s="3">
        <f>AN28/1000</f>
        <v>25802.894</v>
      </c>
      <c r="AQ28" s="3">
        <v>26787615</v>
      </c>
      <c r="AR28" s="3">
        <f>AQ28/1000</f>
        <v>26787.615</v>
      </c>
      <c r="AT28" s="3">
        <v>27275565.39</v>
      </c>
      <c r="AU28" s="3">
        <f>AT28/1000</f>
        <v>27275.56539</v>
      </c>
      <c r="AW28" s="3">
        <v>28951736.63</v>
      </c>
      <c r="AX28" s="3">
        <f>AW28/1000</f>
        <v>28951.73663</v>
      </c>
      <c r="AY28" s="3">
        <v>30686653.009999998</v>
      </c>
      <c r="AZ28" s="3">
        <f>AY28/1000</f>
        <v>30686.653009999998</v>
      </c>
      <c r="BA28" s="3">
        <v>32317724.55</v>
      </c>
      <c r="BB28" s="3">
        <f>BA28/1000</f>
        <v>32317.72455</v>
      </c>
      <c r="BC28" s="3">
        <v>33512602.32</v>
      </c>
      <c r="BD28" s="3">
        <f t="shared" si="4"/>
        <v>33512.60232</v>
      </c>
    </row>
    <row r="29" spans="12:30" ht="12.75">
      <c r="L29" s="244"/>
      <c r="M29" s="24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56" ht="12.75">
      <c r="A30" s="1" t="s">
        <v>21</v>
      </c>
      <c r="B30" s="1">
        <v>1269483</v>
      </c>
      <c r="C30" s="1">
        <v>1373236</v>
      </c>
      <c r="D30" s="1">
        <v>1452924</v>
      </c>
      <c r="E30" s="1">
        <v>1553754</v>
      </c>
      <c r="F30" s="1">
        <v>1587753</v>
      </c>
      <c r="G30" s="1">
        <v>1774934.14954</v>
      </c>
      <c r="H30" s="1">
        <v>1904304.6824500002</v>
      </c>
      <c r="I30" s="1">
        <v>2054411.36595</v>
      </c>
      <c r="J30" s="1">
        <v>2152630.65979</v>
      </c>
      <c r="K30" s="1">
        <v>2148743.68834</v>
      </c>
      <c r="L30" s="244">
        <f aca="true" t="shared" si="5" ref="L30:L39">(K30-J30)*100/J30</f>
        <v>-0.18056843296932618</v>
      </c>
      <c r="M30" s="244">
        <f>(K30-AC30)*100/AC30</f>
        <v>84.4652692054771</v>
      </c>
      <c r="N30" s="14">
        <v>451095</v>
      </c>
      <c r="O30" s="14">
        <v>489309</v>
      </c>
      <c r="P30" s="14">
        <v>535242</v>
      </c>
      <c r="Q30" s="14">
        <v>586065</v>
      </c>
      <c r="R30" s="14">
        <v>649792</v>
      </c>
      <c r="S30" s="14">
        <v>719405</v>
      </c>
      <c r="T30" s="14">
        <v>786709</v>
      </c>
      <c r="U30" s="14">
        <v>795873</v>
      </c>
      <c r="V30" s="14">
        <f>822642892/1000</f>
        <v>822642.892</v>
      </c>
      <c r="W30" s="14">
        <v>853939</v>
      </c>
      <c r="X30" s="14">
        <v>899273</v>
      </c>
      <c r="Y30" s="14">
        <v>945752</v>
      </c>
      <c r="Z30" s="14">
        <v>987884</v>
      </c>
      <c r="AA30" s="14">
        <v>1036255</v>
      </c>
      <c r="AB30" s="14">
        <v>1096476</v>
      </c>
      <c r="AC30" s="14">
        <v>1164850</v>
      </c>
      <c r="AD30" s="14"/>
      <c r="AE30" s="3">
        <v>1269483383</v>
      </c>
      <c r="AF30" s="3">
        <f>AE30/1000</f>
        <v>1269483.383</v>
      </c>
      <c r="AH30" s="3">
        <v>1373236071</v>
      </c>
      <c r="AI30" s="3">
        <f>AH30/1000</f>
        <v>1373236.071</v>
      </c>
      <c r="AK30" s="3">
        <v>1452923728</v>
      </c>
      <c r="AL30" s="3">
        <f>AK30/1000</f>
        <v>1452923.728</v>
      </c>
      <c r="AN30" s="3">
        <v>1553753884</v>
      </c>
      <c r="AO30" s="3">
        <f>AN30/1000</f>
        <v>1553753.884</v>
      </c>
      <c r="AQ30" s="3">
        <v>1587753449</v>
      </c>
      <c r="AR30" s="3">
        <f>AQ30/1000</f>
        <v>1587753.449</v>
      </c>
      <c r="AT30" s="3">
        <v>1774934149.54</v>
      </c>
      <c r="AU30" s="3">
        <f>AT30/1000</f>
        <v>1774934.14954</v>
      </c>
      <c r="AW30" s="3">
        <v>1904304682.4500003</v>
      </c>
      <c r="AX30" s="3">
        <f>AW30/1000</f>
        <v>1904304.6824500002</v>
      </c>
      <c r="AY30" s="3">
        <v>2054411365.95</v>
      </c>
      <c r="AZ30" s="3">
        <f>AY30/1000</f>
        <v>2054411.36595</v>
      </c>
      <c r="BA30" s="3">
        <v>2152630659.79</v>
      </c>
      <c r="BB30" s="3">
        <f>BA30/1000</f>
        <v>2152630.65979</v>
      </c>
      <c r="BC30" s="3">
        <v>2148743688.3399997</v>
      </c>
      <c r="BD30" s="3">
        <f t="shared" si="4"/>
        <v>2148743.68834</v>
      </c>
    </row>
    <row r="31" spans="1:56" ht="12.75">
      <c r="A31" s="1" t="s">
        <v>22</v>
      </c>
      <c r="B31" s="1">
        <v>1030545</v>
      </c>
      <c r="C31" s="1">
        <v>1084505</v>
      </c>
      <c r="D31" s="1">
        <v>1174967</v>
      </c>
      <c r="E31" s="1">
        <v>1244807</v>
      </c>
      <c r="F31" s="1">
        <v>1332440</v>
      </c>
      <c r="G31" s="1">
        <v>1415572.58075</v>
      </c>
      <c r="H31" s="1">
        <v>1544702.6196299999</v>
      </c>
      <c r="I31" s="1">
        <v>1685301.11628</v>
      </c>
      <c r="J31" s="1">
        <v>1707413.44759</v>
      </c>
      <c r="K31" s="1">
        <v>1743283.68183</v>
      </c>
      <c r="L31" s="244">
        <f t="shared" si="5"/>
        <v>2.1008522739838114</v>
      </c>
      <c r="M31" s="244">
        <f>(K31-AC31)*100/AC31</f>
        <v>79.23179153583743</v>
      </c>
      <c r="N31" s="14">
        <v>377229</v>
      </c>
      <c r="O31" s="14">
        <v>409799</v>
      </c>
      <c r="P31" s="14">
        <v>448356</v>
      </c>
      <c r="Q31" s="14">
        <v>500893</v>
      </c>
      <c r="R31" s="14">
        <v>538545</v>
      </c>
      <c r="S31" s="14">
        <v>581630</v>
      </c>
      <c r="T31" s="14">
        <v>633729</v>
      </c>
      <c r="U31" s="14">
        <v>634536</v>
      </c>
      <c r="V31" s="14">
        <f>675680520/1000</f>
        <v>675680.52</v>
      </c>
      <c r="W31" s="14">
        <v>711713</v>
      </c>
      <c r="X31" s="14">
        <v>761421</v>
      </c>
      <c r="Y31" s="14">
        <v>788055</v>
      </c>
      <c r="Z31" s="14">
        <v>824222</v>
      </c>
      <c r="AA31" s="14">
        <v>876798</v>
      </c>
      <c r="AB31" s="14">
        <v>925086</v>
      </c>
      <c r="AC31" s="14">
        <v>972642</v>
      </c>
      <c r="AD31" s="14"/>
      <c r="AE31" s="3">
        <v>1030545286</v>
      </c>
      <c r="AF31" s="3">
        <f>AE31/1000</f>
        <v>1030545.286</v>
      </c>
      <c r="AH31" s="3">
        <v>1084505309</v>
      </c>
      <c r="AI31" s="3">
        <f>AH31/1000</f>
        <v>1084505.309</v>
      </c>
      <c r="AK31" s="3">
        <v>1174967272</v>
      </c>
      <c r="AL31" s="3">
        <f>AK31/1000</f>
        <v>1174967.272</v>
      </c>
      <c r="AN31" s="3">
        <v>1244806580</v>
      </c>
      <c r="AO31" s="3">
        <f>AN31/1000</f>
        <v>1244806.58</v>
      </c>
      <c r="AQ31" s="3">
        <v>1332440418</v>
      </c>
      <c r="AR31" s="3">
        <f>AQ31/1000</f>
        <v>1332440.418</v>
      </c>
      <c r="AT31" s="3">
        <v>1415572580.75</v>
      </c>
      <c r="AU31" s="3">
        <f>AT31/1000</f>
        <v>1415572.58075</v>
      </c>
      <c r="AW31" s="3">
        <v>1544702619.6299999</v>
      </c>
      <c r="AX31" s="3">
        <f>AW31/1000</f>
        <v>1544702.6196299999</v>
      </c>
      <c r="AY31" s="3">
        <v>1685301116.28</v>
      </c>
      <c r="AZ31" s="3">
        <f>AY31/1000</f>
        <v>1685301.11628</v>
      </c>
      <c r="BA31" s="3">
        <v>1707413447.59</v>
      </c>
      <c r="BB31" s="3">
        <f>BA31/1000</f>
        <v>1707413.44759</v>
      </c>
      <c r="BC31" s="3">
        <v>1743283681.83</v>
      </c>
      <c r="BD31" s="3">
        <f t="shared" si="4"/>
        <v>1743283.68183</v>
      </c>
    </row>
    <row r="32" spans="1:56" ht="12.75">
      <c r="A32" s="1" t="s">
        <v>23</v>
      </c>
      <c r="B32" s="1">
        <v>52384</v>
      </c>
      <c r="C32" s="1">
        <v>56915</v>
      </c>
      <c r="D32" s="1">
        <v>60334</v>
      </c>
      <c r="E32" s="1">
        <v>63997</v>
      </c>
      <c r="F32" s="1">
        <v>65388</v>
      </c>
      <c r="G32" s="1">
        <v>71447.01088000002</v>
      </c>
      <c r="H32" s="1">
        <v>75198.82818000001</v>
      </c>
      <c r="I32" s="1">
        <v>83170.68701000001</v>
      </c>
      <c r="J32" s="1">
        <v>88460.17163</v>
      </c>
      <c r="K32" s="1">
        <v>90661.5588</v>
      </c>
      <c r="L32" s="244">
        <f t="shared" si="5"/>
        <v>2.4885630780908783</v>
      </c>
      <c r="M32" s="244">
        <f>(K32-AC32)*100/AC32</f>
        <v>87.47995946896067</v>
      </c>
      <c r="N32" s="14">
        <v>15658</v>
      </c>
      <c r="O32" s="14">
        <v>18457</v>
      </c>
      <c r="P32" s="14">
        <v>20513</v>
      </c>
      <c r="Q32" s="14">
        <v>22155</v>
      </c>
      <c r="R32" s="14">
        <v>23730</v>
      </c>
      <c r="S32" s="14">
        <v>26520</v>
      </c>
      <c r="T32" s="14">
        <v>29915</v>
      </c>
      <c r="U32" s="14">
        <v>32299</v>
      </c>
      <c r="V32" s="14">
        <f>32655484/1000</f>
        <v>32655.484</v>
      </c>
      <c r="W32" s="14">
        <v>34589</v>
      </c>
      <c r="X32" s="14">
        <v>36420</v>
      </c>
      <c r="Y32" s="14">
        <v>37577</v>
      </c>
      <c r="Z32" s="14">
        <v>40009</v>
      </c>
      <c r="AA32" s="14">
        <v>41729</v>
      </c>
      <c r="AB32" s="14">
        <v>46117</v>
      </c>
      <c r="AC32" s="14">
        <v>48358</v>
      </c>
      <c r="AD32" s="14"/>
      <c r="AE32" s="3">
        <v>52384264</v>
      </c>
      <c r="AF32" s="3">
        <f>AE32/1000</f>
        <v>52384.264</v>
      </c>
      <c r="AH32" s="3">
        <v>56914517</v>
      </c>
      <c r="AI32" s="3">
        <f>AH32/1000</f>
        <v>56914.517</v>
      </c>
      <c r="AK32" s="3">
        <v>60334033</v>
      </c>
      <c r="AL32" s="3">
        <f>AK32/1000</f>
        <v>60334.033</v>
      </c>
      <c r="AN32" s="3">
        <v>63996688</v>
      </c>
      <c r="AO32" s="3">
        <f>AN32/1000</f>
        <v>63996.688</v>
      </c>
      <c r="AQ32" s="3">
        <v>65388388</v>
      </c>
      <c r="AR32" s="3">
        <f>AQ32/1000</f>
        <v>65388.388</v>
      </c>
      <c r="AT32" s="3">
        <v>71447010.88000001</v>
      </c>
      <c r="AU32" s="3">
        <f>AT32/1000</f>
        <v>71447.01088000002</v>
      </c>
      <c r="AW32" s="3">
        <v>75198828.18</v>
      </c>
      <c r="AX32" s="3">
        <f>AW32/1000</f>
        <v>75198.82818000001</v>
      </c>
      <c r="AY32" s="3">
        <v>83170687.01</v>
      </c>
      <c r="AZ32" s="3">
        <f>AY32/1000</f>
        <v>83170.68701000001</v>
      </c>
      <c r="BA32" s="3">
        <v>88460171.63</v>
      </c>
      <c r="BB32" s="3">
        <f>BA32/1000</f>
        <v>88460.17163</v>
      </c>
      <c r="BC32" s="3">
        <v>90661558.8</v>
      </c>
      <c r="BD32" s="3">
        <f t="shared" si="4"/>
        <v>90661.5588</v>
      </c>
    </row>
    <row r="33" spans="1:56" ht="12.75">
      <c r="A33" s="1" t="s">
        <v>24</v>
      </c>
      <c r="B33" s="1">
        <v>110571</v>
      </c>
      <c r="C33" s="1">
        <v>119941</v>
      </c>
      <c r="D33" s="1">
        <v>126104</v>
      </c>
      <c r="E33" s="1">
        <v>134795</v>
      </c>
      <c r="F33" s="1">
        <v>140812</v>
      </c>
      <c r="G33" s="1">
        <v>157832.25778</v>
      </c>
      <c r="H33" s="1">
        <v>168720.14928</v>
      </c>
      <c r="I33" s="1">
        <v>192954.03862</v>
      </c>
      <c r="J33" s="1">
        <v>199553.50366999998</v>
      </c>
      <c r="K33" s="1">
        <v>200496.29494999998</v>
      </c>
      <c r="L33" s="244">
        <f t="shared" si="5"/>
        <v>0.4724503767967368</v>
      </c>
      <c r="M33" s="244">
        <f>(K33-AC33)*100/AC33</f>
        <v>94.7473530868754</v>
      </c>
      <c r="N33" s="14">
        <v>37214</v>
      </c>
      <c r="O33" s="14">
        <v>40446</v>
      </c>
      <c r="P33" s="14">
        <v>44576</v>
      </c>
      <c r="Q33" s="14">
        <v>49553</v>
      </c>
      <c r="R33" s="14">
        <v>53583</v>
      </c>
      <c r="S33" s="14">
        <v>58369</v>
      </c>
      <c r="T33" s="14">
        <v>63845</v>
      </c>
      <c r="U33" s="14">
        <v>71320</v>
      </c>
      <c r="V33" s="14">
        <f>73289900/1000</f>
        <v>73289.9</v>
      </c>
      <c r="W33" s="14">
        <v>75984</v>
      </c>
      <c r="X33" s="14">
        <v>80578</v>
      </c>
      <c r="Y33" s="14">
        <v>81446</v>
      </c>
      <c r="Z33" s="14">
        <v>87200</v>
      </c>
      <c r="AA33" s="14">
        <v>91633</v>
      </c>
      <c r="AB33" s="14">
        <v>96785</v>
      </c>
      <c r="AC33" s="14">
        <v>102952</v>
      </c>
      <c r="AD33" s="14"/>
      <c r="AE33" s="3">
        <v>110571476</v>
      </c>
      <c r="AF33" s="3">
        <f>AE33/1000</f>
        <v>110571.476</v>
      </c>
      <c r="AH33" s="3">
        <v>119941028</v>
      </c>
      <c r="AI33" s="3">
        <f>AH33/1000</f>
        <v>119941.028</v>
      </c>
      <c r="AK33" s="3">
        <v>126103888</v>
      </c>
      <c r="AL33" s="3">
        <f>AK33/1000</f>
        <v>126103.888</v>
      </c>
      <c r="AN33" s="3">
        <v>134794651</v>
      </c>
      <c r="AO33" s="3">
        <f>AN33/1000</f>
        <v>134794.651</v>
      </c>
      <c r="AQ33" s="3">
        <v>140812053</v>
      </c>
      <c r="AR33" s="3">
        <f>AQ33/1000</f>
        <v>140812.053</v>
      </c>
      <c r="AT33" s="3">
        <v>157832257.78</v>
      </c>
      <c r="AU33" s="3">
        <f>AT33/1000</f>
        <v>157832.25778</v>
      </c>
      <c r="AW33" s="3">
        <v>168720149.28</v>
      </c>
      <c r="AX33" s="3">
        <f>AW33/1000</f>
        <v>168720.14928</v>
      </c>
      <c r="AY33" s="3">
        <v>192954038.62</v>
      </c>
      <c r="AZ33" s="3">
        <f>AY33/1000</f>
        <v>192954.03862</v>
      </c>
      <c r="BA33" s="3">
        <v>199553503.67</v>
      </c>
      <c r="BB33" s="3">
        <f>BA33/1000</f>
        <v>199553.50366999998</v>
      </c>
      <c r="BC33" s="3">
        <v>200496294.95</v>
      </c>
      <c r="BD33" s="3">
        <f t="shared" si="4"/>
        <v>200496.29494999998</v>
      </c>
    </row>
    <row r="34" spans="1:56" ht="12.75">
      <c r="A34" s="1" t="s">
        <v>25</v>
      </c>
      <c r="B34" s="1">
        <v>26248</v>
      </c>
      <c r="C34" s="1">
        <v>27406</v>
      </c>
      <c r="D34" s="1">
        <v>28751</v>
      </c>
      <c r="E34" s="1">
        <v>29198</v>
      </c>
      <c r="F34" s="1">
        <v>30864</v>
      </c>
      <c r="G34" s="1">
        <v>33129.13011</v>
      </c>
      <c r="H34" s="1">
        <v>37157.094489999996</v>
      </c>
      <c r="I34" s="1">
        <v>40022.82074</v>
      </c>
      <c r="J34" s="1">
        <v>40539.006870000005</v>
      </c>
      <c r="K34" s="1">
        <v>41184.97381999999</v>
      </c>
      <c r="L34" s="244">
        <f t="shared" si="5"/>
        <v>1.5934454242341611</v>
      </c>
      <c r="M34" s="244">
        <f>(K34-AC34)*100/AC34</f>
        <v>64.07048769022386</v>
      </c>
      <c r="N34" s="14">
        <v>10681</v>
      </c>
      <c r="O34" s="14">
        <v>11539</v>
      </c>
      <c r="P34" s="14">
        <v>12404</v>
      </c>
      <c r="Q34" s="14">
        <v>13369</v>
      </c>
      <c r="R34" s="14">
        <v>15015</v>
      </c>
      <c r="S34" s="14">
        <v>16222</v>
      </c>
      <c r="T34" s="14">
        <v>17441</v>
      </c>
      <c r="U34" s="14">
        <v>17675</v>
      </c>
      <c r="V34" s="14">
        <f>18672234/1000</f>
        <v>18672.234</v>
      </c>
      <c r="W34" s="14">
        <v>19936</v>
      </c>
      <c r="X34" s="14">
        <v>20966</v>
      </c>
      <c r="Y34" s="14">
        <v>21879</v>
      </c>
      <c r="Z34" s="14">
        <v>21775</v>
      </c>
      <c r="AA34" s="14">
        <v>23881</v>
      </c>
      <c r="AB34" s="14">
        <v>24388</v>
      </c>
      <c r="AC34" s="14">
        <v>25102</v>
      </c>
      <c r="AD34" s="14"/>
      <c r="AE34" s="3">
        <v>26248393</v>
      </c>
      <c r="AF34" s="3">
        <f>AE34/1000</f>
        <v>26248.393</v>
      </c>
      <c r="AH34" s="3">
        <v>27406363</v>
      </c>
      <c r="AI34" s="3">
        <f>AH34/1000</f>
        <v>27406.363</v>
      </c>
      <c r="AK34" s="3">
        <v>28751327</v>
      </c>
      <c r="AL34" s="3">
        <f>AK34/1000</f>
        <v>28751.327</v>
      </c>
      <c r="AN34" s="3">
        <v>29198324</v>
      </c>
      <c r="AO34" s="3">
        <f>AN34/1000</f>
        <v>29198.324</v>
      </c>
      <c r="AQ34" s="3">
        <v>30864104</v>
      </c>
      <c r="AR34" s="3">
        <f>AQ34/1000</f>
        <v>30864.104</v>
      </c>
      <c r="AT34" s="3">
        <v>33129130.11</v>
      </c>
      <c r="AU34" s="3">
        <f>AT34/1000</f>
        <v>33129.13011</v>
      </c>
      <c r="AW34" s="3">
        <v>37157094.489999995</v>
      </c>
      <c r="AX34" s="3">
        <f>AW34/1000</f>
        <v>37157.094489999996</v>
      </c>
      <c r="AY34" s="3">
        <v>40022820.74</v>
      </c>
      <c r="AZ34" s="3">
        <f>AY34/1000</f>
        <v>40022.82074</v>
      </c>
      <c r="BA34" s="3">
        <v>40539006.870000005</v>
      </c>
      <c r="BB34" s="3">
        <f>BA34/1000</f>
        <v>40539.006870000005</v>
      </c>
      <c r="BC34" s="3">
        <v>41184973.81999999</v>
      </c>
      <c r="BD34" s="3">
        <f t="shared" si="4"/>
        <v>41184.97381999999</v>
      </c>
    </row>
    <row r="35" spans="12:30" ht="12.75">
      <c r="L35" s="244"/>
      <c r="M35" s="24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56" ht="12.75">
      <c r="A36" s="1" t="s">
        <v>26</v>
      </c>
      <c r="B36" s="1">
        <v>33273</v>
      </c>
      <c r="C36" s="1">
        <v>35814</v>
      </c>
      <c r="D36" s="1">
        <v>37994</v>
      </c>
      <c r="E36" s="1">
        <v>40464</v>
      </c>
      <c r="F36" s="1">
        <v>40896</v>
      </c>
      <c r="G36" s="1">
        <v>43709.37090000001</v>
      </c>
      <c r="H36" s="1">
        <v>46233.238040000004</v>
      </c>
      <c r="I36" s="1">
        <v>47855.74811</v>
      </c>
      <c r="J36" s="1">
        <v>50191.26595</v>
      </c>
      <c r="K36" s="1">
        <v>52479.28166</v>
      </c>
      <c r="L36" s="244">
        <f t="shared" si="5"/>
        <v>4.55859334625928</v>
      </c>
      <c r="M36" s="244">
        <f>(K36-AC36)*100/AC36</f>
        <v>68.51068188678035</v>
      </c>
      <c r="N36" s="14">
        <v>12772</v>
      </c>
      <c r="O36" s="14">
        <v>13595</v>
      </c>
      <c r="P36" s="14">
        <v>14223</v>
      </c>
      <c r="Q36" s="14">
        <v>16325</v>
      </c>
      <c r="R36" s="14">
        <v>17771</v>
      </c>
      <c r="S36" s="14">
        <v>20709</v>
      </c>
      <c r="T36" s="14">
        <v>21642</v>
      </c>
      <c r="U36" s="14">
        <v>21550</v>
      </c>
      <c r="V36" s="14">
        <f>22152464/1000</f>
        <v>22152.464</v>
      </c>
      <c r="W36" s="14">
        <v>24317</v>
      </c>
      <c r="X36" s="14">
        <v>26254</v>
      </c>
      <c r="Y36" s="14">
        <v>27215</v>
      </c>
      <c r="Z36" s="14">
        <v>27114</v>
      </c>
      <c r="AA36" s="14">
        <v>27765</v>
      </c>
      <c r="AB36" s="14">
        <v>29900</v>
      </c>
      <c r="AC36" s="14">
        <v>31143</v>
      </c>
      <c r="AD36" s="14"/>
      <c r="AE36" s="3">
        <v>33272922</v>
      </c>
      <c r="AF36" s="3">
        <f>AE36/1000</f>
        <v>33272.922</v>
      </c>
      <c r="AH36" s="3">
        <v>35813696</v>
      </c>
      <c r="AI36" s="3">
        <f>AH36/1000</f>
        <v>35813.696</v>
      </c>
      <c r="AK36" s="3">
        <v>37993615</v>
      </c>
      <c r="AL36" s="3">
        <f>AK36/1000</f>
        <v>37993.615</v>
      </c>
      <c r="AN36" s="3">
        <v>40464053</v>
      </c>
      <c r="AO36" s="3">
        <f>AN36/1000</f>
        <v>40464.053</v>
      </c>
      <c r="AQ36" s="3">
        <v>40895823</v>
      </c>
      <c r="AR36" s="3">
        <f>AQ36/1000</f>
        <v>40895.823</v>
      </c>
      <c r="AT36" s="3">
        <v>43709370.900000006</v>
      </c>
      <c r="AU36" s="3">
        <f>AT36/1000</f>
        <v>43709.37090000001</v>
      </c>
      <c r="AW36" s="3">
        <v>46233238.04000001</v>
      </c>
      <c r="AX36" s="3">
        <f>AW36/1000</f>
        <v>46233.238040000004</v>
      </c>
      <c r="AY36" s="3">
        <v>47855748.11</v>
      </c>
      <c r="AZ36" s="3">
        <f>AY36/1000</f>
        <v>47855.74811</v>
      </c>
      <c r="BA36" s="3">
        <v>50191265.95</v>
      </c>
      <c r="BB36" s="3">
        <f>BA36/1000</f>
        <v>50191.26595</v>
      </c>
      <c r="BC36" s="3">
        <v>52479281.660000004</v>
      </c>
      <c r="BD36" s="3">
        <f t="shared" si="4"/>
        <v>52479.28166</v>
      </c>
    </row>
    <row r="37" spans="1:56" ht="12.75">
      <c r="A37" s="1" t="s">
        <v>27</v>
      </c>
      <c r="B37" s="1">
        <v>142372</v>
      </c>
      <c r="C37" s="1">
        <v>152087</v>
      </c>
      <c r="D37" s="1">
        <v>159240</v>
      </c>
      <c r="E37" s="1">
        <v>170560</v>
      </c>
      <c r="F37" s="1">
        <v>178983</v>
      </c>
      <c r="G37" s="1">
        <v>202365.81321</v>
      </c>
      <c r="H37" s="1">
        <v>217409.61916</v>
      </c>
      <c r="I37" s="1">
        <v>247705.48995000002</v>
      </c>
      <c r="J37" s="1">
        <v>256921.39682999998</v>
      </c>
      <c r="K37" s="1">
        <v>264479.22005</v>
      </c>
      <c r="L37" s="244">
        <f t="shared" si="5"/>
        <v>2.941686956887008</v>
      </c>
      <c r="M37" s="244">
        <f>(K37-AC37)*100/AC37</f>
        <v>93.50391797569488</v>
      </c>
      <c r="N37" s="14">
        <v>59424</v>
      </c>
      <c r="O37" s="14">
        <v>64757</v>
      </c>
      <c r="P37" s="14">
        <v>68434</v>
      </c>
      <c r="Q37" s="14">
        <v>74127</v>
      </c>
      <c r="R37" s="14">
        <v>79718</v>
      </c>
      <c r="S37" s="14">
        <v>85468</v>
      </c>
      <c r="T37" s="14">
        <v>91813</v>
      </c>
      <c r="U37" s="14">
        <v>96112</v>
      </c>
      <c r="V37" s="14">
        <f>97725056/1000</f>
        <v>97725.056</v>
      </c>
      <c r="W37" s="14">
        <v>104445</v>
      </c>
      <c r="X37" s="14">
        <v>110155</v>
      </c>
      <c r="Y37" s="14">
        <v>112839</v>
      </c>
      <c r="Z37" s="14">
        <v>116065</v>
      </c>
      <c r="AA37" s="14">
        <v>122267</v>
      </c>
      <c r="AB37" s="14">
        <v>129850</v>
      </c>
      <c r="AC37" s="14">
        <v>136679</v>
      </c>
      <c r="AD37" s="14"/>
      <c r="AE37" s="3">
        <v>142371845</v>
      </c>
      <c r="AF37" s="3">
        <f>AE37/1000</f>
        <v>142371.845</v>
      </c>
      <c r="AH37" s="3">
        <v>152086831</v>
      </c>
      <c r="AI37" s="3">
        <f>AH37/1000</f>
        <v>152086.831</v>
      </c>
      <c r="AK37" s="3">
        <v>159239920</v>
      </c>
      <c r="AL37" s="3">
        <f>AK37/1000</f>
        <v>159239.92</v>
      </c>
      <c r="AN37" s="3">
        <v>170560234</v>
      </c>
      <c r="AO37" s="3">
        <f>AN37/1000</f>
        <v>170560.234</v>
      </c>
      <c r="AQ37" s="3">
        <v>178983436</v>
      </c>
      <c r="AR37" s="3">
        <f>AQ37/1000</f>
        <v>178983.436</v>
      </c>
      <c r="AT37" s="3">
        <v>202365813.20999998</v>
      </c>
      <c r="AU37" s="3">
        <f>AT37/1000</f>
        <v>202365.81321</v>
      </c>
      <c r="AW37" s="3">
        <v>217409619.16</v>
      </c>
      <c r="AX37" s="3">
        <f>AW37/1000</f>
        <v>217409.61916</v>
      </c>
      <c r="AY37" s="3">
        <v>247705489.95000002</v>
      </c>
      <c r="AZ37" s="3">
        <f>AY37/1000</f>
        <v>247705.48995000002</v>
      </c>
      <c r="BA37" s="3">
        <v>256921396.82999998</v>
      </c>
      <c r="BB37" s="3">
        <f>BA37/1000</f>
        <v>256921.39682999998</v>
      </c>
      <c r="BC37" s="3">
        <v>264479220.05</v>
      </c>
      <c r="BD37" s="3">
        <f t="shared" si="4"/>
        <v>264479.22005</v>
      </c>
    </row>
    <row r="38" spans="1:56" ht="12.75">
      <c r="A38" s="1" t="s">
        <v>28</v>
      </c>
      <c r="B38" s="1">
        <v>106373</v>
      </c>
      <c r="C38" s="1">
        <v>110791</v>
      </c>
      <c r="D38" s="1">
        <v>117576</v>
      </c>
      <c r="E38" s="1">
        <v>125951</v>
      </c>
      <c r="F38" s="1">
        <v>134483</v>
      </c>
      <c r="G38" s="1">
        <v>146235.85091</v>
      </c>
      <c r="H38" s="1">
        <v>160583.22832999998</v>
      </c>
      <c r="I38" s="1">
        <v>177035.92376000003</v>
      </c>
      <c r="J38" s="1">
        <v>186003.08109999998</v>
      </c>
      <c r="K38" s="1">
        <v>192502.80109</v>
      </c>
      <c r="L38" s="244">
        <f t="shared" si="5"/>
        <v>3.4944152277271137</v>
      </c>
      <c r="M38" s="244">
        <f>(K38-AC38)*100/AC38</f>
        <v>95.37481080889069</v>
      </c>
      <c r="N38" s="14">
        <v>34871</v>
      </c>
      <c r="O38" s="14">
        <v>39012</v>
      </c>
      <c r="P38" s="14">
        <v>42006</v>
      </c>
      <c r="Q38" s="14">
        <v>45351</v>
      </c>
      <c r="R38" s="14">
        <v>49977</v>
      </c>
      <c r="S38" s="14">
        <v>56692</v>
      </c>
      <c r="T38" s="14">
        <v>62569</v>
      </c>
      <c r="U38" s="14">
        <v>63271</v>
      </c>
      <c r="V38" s="14">
        <f>68144105/1000</f>
        <v>68144.105</v>
      </c>
      <c r="W38" s="14">
        <v>70801</v>
      </c>
      <c r="X38" s="14">
        <v>75223</v>
      </c>
      <c r="Y38" s="14">
        <v>75715</v>
      </c>
      <c r="Z38" s="14">
        <v>81014</v>
      </c>
      <c r="AA38" s="14">
        <v>86121</v>
      </c>
      <c r="AB38" s="14">
        <v>93366</v>
      </c>
      <c r="AC38" s="14">
        <v>98530</v>
      </c>
      <c r="AD38" s="14"/>
      <c r="AE38" s="3">
        <v>106373182</v>
      </c>
      <c r="AF38" s="3">
        <f>AE38/1000</f>
        <v>106373.182</v>
      </c>
      <c r="AH38" s="3">
        <v>110791312</v>
      </c>
      <c r="AI38" s="3">
        <f>AH38/1000</f>
        <v>110791.312</v>
      </c>
      <c r="AK38" s="3">
        <v>117575700</v>
      </c>
      <c r="AL38" s="3">
        <f>AK38/1000</f>
        <v>117575.7</v>
      </c>
      <c r="AN38" s="3">
        <v>125951044</v>
      </c>
      <c r="AO38" s="3">
        <f>AN38/1000</f>
        <v>125951.044</v>
      </c>
      <c r="AQ38" s="3">
        <v>134483079</v>
      </c>
      <c r="AR38" s="3">
        <f>AQ38/1000</f>
        <v>134483.079</v>
      </c>
      <c r="AT38" s="3">
        <v>146235850.91</v>
      </c>
      <c r="AU38" s="3">
        <f>AT38/1000</f>
        <v>146235.85091</v>
      </c>
      <c r="AW38" s="3">
        <v>160583228.32999998</v>
      </c>
      <c r="AX38" s="3">
        <f>AW38/1000</f>
        <v>160583.22832999998</v>
      </c>
      <c r="AY38" s="3">
        <v>177035923.76000002</v>
      </c>
      <c r="AZ38" s="3">
        <f>AY38/1000</f>
        <v>177035.92376000003</v>
      </c>
      <c r="BA38" s="3">
        <v>186003081.1</v>
      </c>
      <c r="BB38" s="3">
        <f>BA38/1000</f>
        <v>186003.08109999998</v>
      </c>
      <c r="BC38" s="3">
        <v>192502801.09</v>
      </c>
      <c r="BD38" s="3">
        <f t="shared" si="4"/>
        <v>192502.80109</v>
      </c>
    </row>
    <row r="39" spans="1:56" ht="12.75">
      <c r="A39" s="17" t="s">
        <v>29</v>
      </c>
      <c r="B39" s="1">
        <v>56684</v>
      </c>
      <c r="C39" s="1">
        <v>62078</v>
      </c>
      <c r="D39" s="1">
        <v>67735</v>
      </c>
      <c r="E39" s="1">
        <v>71341</v>
      </c>
      <c r="F39" s="1">
        <v>73641</v>
      </c>
      <c r="G39" s="1">
        <v>81948.85169000001</v>
      </c>
      <c r="H39" s="1">
        <v>88864.7678</v>
      </c>
      <c r="I39" s="1">
        <v>96393.45935</v>
      </c>
      <c r="J39" s="1">
        <v>102892.19548</v>
      </c>
      <c r="K39" s="1">
        <v>104060.67328</v>
      </c>
      <c r="L39" s="244">
        <f t="shared" si="5"/>
        <v>1.1356330716328573</v>
      </c>
      <c r="M39" s="244">
        <f>(K39-AC39)*100/AC39</f>
        <v>97.53354836750191</v>
      </c>
      <c r="N39" s="14">
        <v>19147</v>
      </c>
      <c r="O39" s="24">
        <v>21400</v>
      </c>
      <c r="P39" s="14">
        <v>24454</v>
      </c>
      <c r="Q39" s="14">
        <v>26358</v>
      </c>
      <c r="R39" s="14">
        <v>28006</v>
      </c>
      <c r="S39" s="14">
        <v>30784</v>
      </c>
      <c r="T39" s="14">
        <v>33702</v>
      </c>
      <c r="U39" s="14">
        <v>35750</v>
      </c>
      <c r="V39" s="14">
        <f>36351048/1000</f>
        <v>36351.048</v>
      </c>
      <c r="W39" s="14">
        <v>38481</v>
      </c>
      <c r="X39" s="14">
        <v>40069</v>
      </c>
      <c r="Y39" s="14">
        <v>41957</v>
      </c>
      <c r="Z39" s="14">
        <v>44511</v>
      </c>
      <c r="AA39" s="14">
        <v>47323</v>
      </c>
      <c r="AB39" s="14">
        <v>51076</v>
      </c>
      <c r="AC39" s="14">
        <v>52680</v>
      </c>
      <c r="AD39" s="14"/>
      <c r="AE39" s="3">
        <v>56684130</v>
      </c>
      <c r="AF39" s="3">
        <f>AE39/1000</f>
        <v>56684.13</v>
      </c>
      <c r="AH39" s="3">
        <v>62078017</v>
      </c>
      <c r="AI39" s="3">
        <f>AH39/1000</f>
        <v>62078.017</v>
      </c>
      <c r="AK39" s="3">
        <v>67734521</v>
      </c>
      <c r="AL39" s="3">
        <f>AK39/1000</f>
        <v>67734.521</v>
      </c>
      <c r="AN39" s="3">
        <v>71341008</v>
      </c>
      <c r="AO39" s="3">
        <f>AN39/1000</f>
        <v>71341.008</v>
      </c>
      <c r="AQ39" s="3">
        <v>73640530</v>
      </c>
      <c r="AR39" s="3">
        <f>AQ39/1000</f>
        <v>73640.53</v>
      </c>
      <c r="AT39" s="3">
        <v>81948851.69000001</v>
      </c>
      <c r="AU39" s="3">
        <f>AT39/1000</f>
        <v>81948.85169000001</v>
      </c>
      <c r="AW39" s="3">
        <v>88864767.8</v>
      </c>
      <c r="AX39" s="3">
        <f>AW39/1000</f>
        <v>88864.7678</v>
      </c>
      <c r="AY39" s="3">
        <v>96393459.35000001</v>
      </c>
      <c r="AZ39" s="3">
        <f>AY39/1000</f>
        <v>96393.45935</v>
      </c>
      <c r="BA39" s="3">
        <v>102892195.47999999</v>
      </c>
      <c r="BB39" s="3">
        <f>BA39/1000</f>
        <v>102892.19548</v>
      </c>
      <c r="BC39" s="3">
        <v>104060673.28</v>
      </c>
      <c r="BD39" s="3">
        <f t="shared" si="4"/>
        <v>104060.67328</v>
      </c>
    </row>
    <row r="40" spans="1:24" ht="12.75">
      <c r="A40" s="1" t="s">
        <v>304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6"/>
      <c r="P40" s="19"/>
      <c r="Q40" s="19"/>
      <c r="R40" s="19"/>
      <c r="X40" s="19"/>
    </row>
    <row r="41" spans="16:24" ht="12.75">
      <c r="P41" s="14"/>
      <c r="Q41" s="14"/>
      <c r="R41" s="14"/>
      <c r="X41" s="14"/>
    </row>
    <row r="42" spans="16:24" ht="12.75">
      <c r="P42" s="14"/>
      <c r="Q42" s="14"/>
      <c r="R42" s="14"/>
      <c r="X42" s="14"/>
    </row>
    <row r="43" spans="16:24" ht="12.75">
      <c r="P43" s="14"/>
      <c r="Q43" s="14"/>
      <c r="R43" s="14"/>
      <c r="X43" s="14"/>
    </row>
    <row r="44" spans="16:24" ht="12.75">
      <c r="P44" s="14"/>
      <c r="Q44" s="14"/>
      <c r="R44" s="14"/>
      <c r="X44" s="14"/>
    </row>
    <row r="45" spans="16:24" ht="12.75">
      <c r="P45" s="14"/>
      <c r="Q45" s="14"/>
      <c r="R45" s="14"/>
      <c r="X45" s="14"/>
    </row>
  </sheetData>
  <sheetProtection password="CAF5" sheet="1"/>
  <mergeCells count="3">
    <mergeCell ref="A1:M1"/>
    <mergeCell ref="A3:M3"/>
    <mergeCell ref="A4:M4"/>
  </mergeCells>
  <printOptions/>
  <pageMargins left="0.5" right="0.47" top="1" bottom="1" header="0.5" footer="0.5"/>
  <pageSetup fitToHeight="1" fitToWidth="1" orientation="landscape" scale="77" r:id="rId1"/>
  <headerFooter scaleWithDoc="0" alignWithMargins="0">
    <oddFooter>&amp;L&amp;"Arial,Italic"&amp;10MSDE-LFRO  10 / 2011&amp;C&amp;"Arial,Regular"&amp;10- 2 -&amp;R&amp;"Arial,Italic"&amp;10Selected Financial Data - Part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2"/>
  <sheetViews>
    <sheetView zoomScalePageLayoutView="0" workbookViewId="0" topLeftCell="A28">
      <selection activeCell="A40" sqref="A40"/>
    </sheetView>
  </sheetViews>
  <sheetFormatPr defaultColWidth="10.00390625" defaultRowHeight="15.75"/>
  <cols>
    <col min="1" max="1" width="12.875" style="1" customWidth="1"/>
    <col min="2" max="11" width="12.625" style="1" customWidth="1"/>
    <col min="12" max="12" width="7.875" style="1" customWidth="1"/>
    <col min="13" max="13" width="8.625" style="1" customWidth="1"/>
    <col min="14" max="14" width="8.75390625" style="1" customWidth="1"/>
    <col min="15" max="15" width="9.875" style="1" customWidth="1"/>
    <col min="16" max="16" width="9.375" style="1" bestFit="1" customWidth="1"/>
    <col min="17" max="17" width="9.25390625" style="1" customWidth="1"/>
    <col min="18" max="25" width="10.125" style="1" customWidth="1"/>
    <col min="26" max="26" width="10.875" style="1" customWidth="1"/>
    <col min="27" max="27" width="10.875" style="1" bestFit="1" customWidth="1"/>
    <col min="28" max="28" width="10.875" style="1" customWidth="1"/>
    <col min="29" max="29" width="9.375" style="1" bestFit="1" customWidth="1"/>
    <col min="30" max="31" width="9.375" style="1" customWidth="1"/>
    <col min="32" max="32" width="12.50390625" style="1" bestFit="1" customWidth="1"/>
    <col min="33" max="33" width="10.125" style="1" customWidth="1"/>
    <col min="34" max="34" width="2.25390625" style="3" customWidth="1"/>
    <col min="35" max="35" width="11.00390625" style="3" customWidth="1"/>
    <col min="36" max="36" width="10.125" style="3" customWidth="1"/>
    <col min="37" max="37" width="3.125" style="3" customWidth="1"/>
    <col min="38" max="38" width="11.625" style="3" customWidth="1"/>
    <col min="39" max="39" width="10.125" style="3" customWidth="1"/>
    <col min="40" max="40" width="3.75390625" style="3" customWidth="1"/>
    <col min="41" max="41" width="10.625" style="3" bestFit="1" customWidth="1"/>
    <col min="42" max="42" width="10.125" style="3" customWidth="1"/>
    <col min="43" max="43" width="2.625" style="3" customWidth="1"/>
    <col min="44" max="45" width="10.125" style="3" customWidth="1"/>
    <col min="46" max="46" width="3.125" style="3" customWidth="1"/>
    <col min="47" max="47" width="11.375" style="3" customWidth="1"/>
    <col min="48" max="48" width="10.125" style="3" customWidth="1"/>
    <col min="49" max="49" width="2.875" style="3" customWidth="1"/>
    <col min="50" max="50" width="10.625" style="3" bestFit="1" customWidth="1"/>
    <col min="51" max="51" width="10.125" style="3" customWidth="1"/>
    <col min="52" max="52" width="11.00390625" style="3" customWidth="1"/>
    <col min="53" max="53" width="10.125" style="3" customWidth="1"/>
    <col min="54" max="54" width="10.625" style="3" bestFit="1" customWidth="1"/>
    <col min="55" max="55" width="10.125" style="3" customWidth="1"/>
    <col min="56" max="56" width="10.875" style="3" customWidth="1"/>
    <col min="57" max="65" width="10.125" style="3" customWidth="1"/>
    <col min="66" max="16384" width="10.00390625" style="3" customWidth="1"/>
  </cols>
  <sheetData>
    <row r="1" spans="1:32" ht="12.75">
      <c r="A1" s="314" t="s">
        <v>82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115"/>
      <c r="O1" s="201"/>
      <c r="P1" s="201"/>
      <c r="Q1" s="10"/>
      <c r="X1" s="2"/>
      <c r="Y1" s="2"/>
      <c r="Z1" s="10"/>
      <c r="AA1" s="2"/>
      <c r="AB1" s="2"/>
      <c r="AC1" s="2"/>
      <c r="AD1" s="2"/>
      <c r="AE1" s="2"/>
      <c r="AF1" s="68"/>
    </row>
    <row r="2" spans="1:32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201"/>
      <c r="P2" s="201"/>
      <c r="Q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314" t="s">
        <v>226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115"/>
      <c r="O3" s="201"/>
      <c r="P3" s="201"/>
      <c r="Q3" s="10"/>
      <c r="X3" s="2"/>
      <c r="Y3" s="2"/>
      <c r="Z3" s="10"/>
      <c r="AA3" s="2"/>
      <c r="AB3" s="2"/>
      <c r="AC3" s="2"/>
      <c r="AD3" s="2"/>
      <c r="AE3" s="2"/>
      <c r="AF3" s="2"/>
    </row>
    <row r="4" spans="1:32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201"/>
      <c r="P4" s="201"/>
      <c r="Q4" s="10"/>
      <c r="X4" s="2"/>
      <c r="Y4" s="2"/>
      <c r="Z4" s="10"/>
      <c r="AA4" s="2"/>
      <c r="AB4" s="2"/>
      <c r="AC4" s="2"/>
      <c r="AD4" s="2"/>
      <c r="AE4" s="2"/>
      <c r="AF4" s="2"/>
    </row>
    <row r="5" spans="1:26" ht="13.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68"/>
      <c r="P5" s="68"/>
      <c r="Q5" s="94"/>
      <c r="Z5" s="94"/>
    </row>
    <row r="6" spans="1:33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7"/>
      <c r="AE6" s="7"/>
      <c r="AF6" s="3"/>
      <c r="AG6" s="3"/>
    </row>
    <row r="7" spans="12:33" ht="12.75">
      <c r="L7" s="6" t="s">
        <v>34</v>
      </c>
      <c r="M7" s="6"/>
      <c r="S7" s="3"/>
      <c r="AF7" s="3"/>
      <c r="AG7" s="3"/>
    </row>
    <row r="8" spans="2:57" ht="12.75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S8" s="3"/>
      <c r="Z8" s="7"/>
      <c r="AA8" s="7"/>
      <c r="AB8" s="7"/>
      <c r="AC8" s="7"/>
      <c r="AD8" s="7"/>
      <c r="AE8" s="7"/>
      <c r="AF8" s="3"/>
      <c r="AG8" s="3"/>
      <c r="AJ8" s="3" t="s">
        <v>209</v>
      </c>
      <c r="AM8" s="3" t="s">
        <v>209</v>
      </c>
      <c r="AP8" s="3" t="s">
        <v>209</v>
      </c>
      <c r="AS8" s="3" t="s">
        <v>209</v>
      </c>
      <c r="AV8" s="3" t="s">
        <v>209</v>
      </c>
      <c r="AY8" s="3" t="s">
        <v>209</v>
      </c>
      <c r="BA8" s="189" t="s">
        <v>209</v>
      </c>
      <c r="BC8" s="189" t="s">
        <v>209</v>
      </c>
      <c r="BE8" s="189" t="s">
        <v>209</v>
      </c>
    </row>
    <row r="9" spans="1:57" ht="13.5" thickBot="1">
      <c r="A9" s="8" t="s">
        <v>1</v>
      </c>
      <c r="B9" s="9" t="s">
        <v>105</v>
      </c>
      <c r="C9" s="9" t="s">
        <v>161</v>
      </c>
      <c r="D9" s="9" t="s">
        <v>168</v>
      </c>
      <c r="E9" s="9" t="s">
        <v>184</v>
      </c>
      <c r="F9" s="9" t="s">
        <v>194</v>
      </c>
      <c r="G9" s="9" t="s">
        <v>208</v>
      </c>
      <c r="H9" s="9" t="s">
        <v>243</v>
      </c>
      <c r="I9" s="9" t="s">
        <v>256</v>
      </c>
      <c r="J9" s="9" t="s">
        <v>269</v>
      </c>
      <c r="K9" s="9" t="s">
        <v>284</v>
      </c>
      <c r="L9" s="9" t="s">
        <v>84</v>
      </c>
      <c r="M9" s="9" t="s">
        <v>84</v>
      </c>
      <c r="N9" s="10" t="s">
        <v>43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40"/>
      <c r="AE9" s="40"/>
      <c r="AF9" s="9" t="s">
        <v>105</v>
      </c>
      <c r="AG9" s="9" t="s">
        <v>105</v>
      </c>
      <c r="AI9" s="114" t="s">
        <v>161</v>
      </c>
      <c r="AJ9" s="114" t="s">
        <v>161</v>
      </c>
      <c r="AL9" s="114" t="s">
        <v>168</v>
      </c>
      <c r="AM9" s="114" t="s">
        <v>168</v>
      </c>
      <c r="AO9" s="20" t="s">
        <v>184</v>
      </c>
      <c r="AP9" s="20" t="s">
        <v>184</v>
      </c>
      <c r="AR9" s="3" t="s">
        <v>194</v>
      </c>
      <c r="AS9" s="3" t="s">
        <v>194</v>
      </c>
      <c r="AU9" s="3" t="s">
        <v>208</v>
      </c>
      <c r="AV9" s="3" t="s">
        <v>208</v>
      </c>
      <c r="AX9" s="20" t="s">
        <v>243</v>
      </c>
      <c r="AY9" s="20" t="s">
        <v>243</v>
      </c>
      <c r="AZ9" s="20" t="s">
        <v>256</v>
      </c>
      <c r="BA9" s="20" t="s">
        <v>256</v>
      </c>
      <c r="BB9" s="20" t="s">
        <v>269</v>
      </c>
      <c r="BC9" s="20" t="s">
        <v>269</v>
      </c>
      <c r="BD9" s="3" t="s">
        <v>284</v>
      </c>
      <c r="BE9" s="3" t="s">
        <v>284</v>
      </c>
    </row>
    <row r="10" spans="1:57" ht="13.5" thickTop="1">
      <c r="A10" s="7" t="s">
        <v>5</v>
      </c>
      <c r="B10" s="11">
        <f aca="true" t="shared" si="0" ref="B10:H10">SUM(B12:B39)</f>
        <v>2924890</v>
      </c>
      <c r="C10" s="11">
        <f t="shared" si="0"/>
        <v>2853967</v>
      </c>
      <c r="D10" s="11">
        <f t="shared" si="0"/>
        <v>3074878</v>
      </c>
      <c r="E10" s="11">
        <f t="shared" si="0"/>
        <v>3291558</v>
      </c>
      <c r="F10" s="11">
        <f t="shared" si="0"/>
        <v>3586692</v>
      </c>
      <c r="G10" s="11">
        <f t="shared" si="0"/>
        <v>3979367.29898</v>
      </c>
      <c r="H10" s="11">
        <f t="shared" si="0"/>
        <v>4419141.662799999</v>
      </c>
      <c r="I10" s="11">
        <f>SUM(I12:I39)</f>
        <v>5122604.803180001</v>
      </c>
      <c r="J10" s="11">
        <f>SUM(J12:J39)</f>
        <v>5340712.54387</v>
      </c>
      <c r="K10" s="11">
        <f>SUM(K12:K39)</f>
        <v>5272955.940369</v>
      </c>
      <c r="L10" s="244">
        <f>(K10-J10)*100/J10</f>
        <v>-1.2686809661525518</v>
      </c>
      <c r="M10" s="244">
        <f>(K10-AC10)*100/AC10</f>
        <v>103.23184659120341</v>
      </c>
      <c r="N10" s="13">
        <v>994434</v>
      </c>
      <c r="O10" s="11">
        <v>1076131</v>
      </c>
      <c r="P10" s="11">
        <v>1179082</v>
      </c>
      <c r="Q10" s="11">
        <v>1285974</v>
      </c>
      <c r="R10" s="11">
        <v>1385784</v>
      </c>
      <c r="S10" s="11">
        <f aca="true" t="shared" si="1" ref="S10:AC10">SUM(S12:S39)</f>
        <v>1504562</v>
      </c>
      <c r="T10" s="11">
        <f t="shared" si="1"/>
        <v>1631931</v>
      </c>
      <c r="U10" s="11">
        <f t="shared" si="1"/>
        <v>1720447</v>
      </c>
      <c r="V10" s="11">
        <f t="shared" si="1"/>
        <v>1866666</v>
      </c>
      <c r="W10" s="11">
        <f t="shared" si="1"/>
        <v>1868902</v>
      </c>
      <c r="X10" s="11">
        <f t="shared" si="1"/>
        <v>1963115</v>
      </c>
      <c r="Y10" s="11">
        <f t="shared" si="1"/>
        <v>2080392</v>
      </c>
      <c r="Z10" s="11">
        <f t="shared" si="1"/>
        <v>2191846</v>
      </c>
      <c r="AA10" s="11">
        <f t="shared" si="1"/>
        <v>2378117</v>
      </c>
      <c r="AB10" s="11">
        <f t="shared" si="1"/>
        <v>2522733</v>
      </c>
      <c r="AC10" s="11">
        <f t="shared" si="1"/>
        <v>2594552</v>
      </c>
      <c r="AD10" s="11"/>
      <c r="AE10" s="11"/>
      <c r="AF10" s="130">
        <f>SUM(AF12:AF39)</f>
        <v>2924893128</v>
      </c>
      <c r="AG10" s="130">
        <f>SUM(AG12:AG39)</f>
        <v>2924893.128</v>
      </c>
      <c r="AI10" s="130">
        <f>SUM(AI12:AI39)</f>
        <v>2853965397</v>
      </c>
      <c r="AJ10" s="130">
        <f>SUM(AJ12:AJ39)</f>
        <v>2853965.3969999994</v>
      </c>
      <c r="AL10" s="130">
        <f>SUM(AL12:AL39)</f>
        <v>3074880212</v>
      </c>
      <c r="AM10" s="130">
        <f>SUM(AM12:AM39)</f>
        <v>3074880.2120000008</v>
      </c>
      <c r="AO10" s="130">
        <f>SUM(AO12:AO39)</f>
        <v>3291557899</v>
      </c>
      <c r="AP10" s="130">
        <f>SUM(AP12:AP39)</f>
        <v>3291557.8990000007</v>
      </c>
      <c r="AR10" s="3">
        <v>3586692424</v>
      </c>
      <c r="AS10" s="3">
        <f aca="true" t="shared" si="2" ref="AS10:AS39">AR10/1000</f>
        <v>3586692.424</v>
      </c>
      <c r="AU10" s="130">
        <f>SUM(AU12:AU39)</f>
        <v>3979367298.9800005</v>
      </c>
      <c r="AV10" s="3">
        <f aca="true" t="shared" si="3" ref="AV10:AV39">AU10/1000</f>
        <v>3979367.2989800004</v>
      </c>
      <c r="AX10" s="130">
        <f aca="true" t="shared" si="4" ref="AX10:BE10">SUM(AX12:AX39)</f>
        <v>4419141662.8</v>
      </c>
      <c r="AY10" s="130">
        <f t="shared" si="4"/>
        <v>4419141.662799999</v>
      </c>
      <c r="AZ10" s="130">
        <f t="shared" si="4"/>
        <v>5122604803.180001</v>
      </c>
      <c r="BA10" s="130">
        <f t="shared" si="4"/>
        <v>5122604.803180001</v>
      </c>
      <c r="BB10" s="130">
        <f t="shared" si="4"/>
        <v>5340712543.87</v>
      </c>
      <c r="BC10" s="130">
        <f t="shared" si="4"/>
        <v>5340712.54387</v>
      </c>
      <c r="BD10" s="130">
        <f t="shared" si="4"/>
        <v>5272955940.369</v>
      </c>
      <c r="BE10" s="130">
        <f t="shared" si="4"/>
        <v>5272955.940369</v>
      </c>
    </row>
    <row r="11" spans="12:33" ht="12.75">
      <c r="L11" s="244"/>
      <c r="M11" s="244"/>
      <c r="O11" s="14"/>
      <c r="X11" s="14"/>
      <c r="Y11" s="14"/>
      <c r="Z11" s="14"/>
      <c r="AA11" s="14"/>
      <c r="AB11" s="14"/>
      <c r="AC11" s="14"/>
      <c r="AD11" s="14"/>
      <c r="AE11" s="14"/>
      <c r="AF11" s="3"/>
      <c r="AG11" s="3"/>
    </row>
    <row r="12" spans="1:57" ht="12.75">
      <c r="A12" s="1" t="s">
        <v>6</v>
      </c>
      <c r="B12" s="14">
        <v>45611</v>
      </c>
      <c r="C12" s="1">
        <v>47591</v>
      </c>
      <c r="D12" s="1">
        <v>49905</v>
      </c>
      <c r="E12" s="1">
        <v>52255</v>
      </c>
      <c r="F12" s="1">
        <v>55657</v>
      </c>
      <c r="G12" s="1">
        <v>64804.8461</v>
      </c>
      <c r="H12" s="1">
        <v>74454.62124</v>
      </c>
      <c r="I12" s="1">
        <v>88531.18233</v>
      </c>
      <c r="J12" s="1">
        <v>93726.15875999999</v>
      </c>
      <c r="K12" s="1">
        <v>92417.48636999998</v>
      </c>
      <c r="L12" s="244">
        <f>(K12-J12)*100/J12</f>
        <v>-1.396272297204733</v>
      </c>
      <c r="M12" s="244">
        <f>(K12-AC12)*100/AC12</f>
        <v>119.21176111862232</v>
      </c>
      <c r="N12" s="14">
        <v>19506</v>
      </c>
      <c r="O12" s="14">
        <v>20859</v>
      </c>
      <c r="P12" s="14">
        <v>22940</v>
      </c>
      <c r="Q12" s="14">
        <v>25256</v>
      </c>
      <c r="R12" s="14">
        <v>26749</v>
      </c>
      <c r="S12" s="14">
        <v>28899</v>
      </c>
      <c r="T12" s="14">
        <v>30898</v>
      </c>
      <c r="U12" s="14">
        <v>31885</v>
      </c>
      <c r="V12" s="14">
        <v>34128</v>
      </c>
      <c r="W12" s="14">
        <v>34353</v>
      </c>
      <c r="X12" s="14">
        <v>36719</v>
      </c>
      <c r="Y12" s="14">
        <v>38216</v>
      </c>
      <c r="Z12" s="14">
        <v>39703</v>
      </c>
      <c r="AA12" s="14">
        <v>41569</v>
      </c>
      <c r="AB12" s="14">
        <v>43231</v>
      </c>
      <c r="AC12" s="14">
        <v>42159</v>
      </c>
      <c r="AD12" s="14"/>
      <c r="AE12" s="14"/>
      <c r="AF12" s="3">
        <v>45611115</v>
      </c>
      <c r="AG12" s="3">
        <f>AF12/1000</f>
        <v>45611.115</v>
      </c>
      <c r="AI12" s="3">
        <v>47590525</v>
      </c>
      <c r="AJ12" s="3">
        <f>AI12/1000</f>
        <v>47590.525</v>
      </c>
      <c r="AL12" s="3">
        <v>49904689</v>
      </c>
      <c r="AM12" s="3">
        <f>AL12/1000</f>
        <v>49904.689</v>
      </c>
      <c r="AO12" s="3">
        <v>52254860</v>
      </c>
      <c r="AP12" s="3">
        <f>AO12/1000</f>
        <v>52254.86</v>
      </c>
      <c r="AR12" s="3">
        <v>55657047</v>
      </c>
      <c r="AS12" s="3">
        <f t="shared" si="2"/>
        <v>55657.047</v>
      </c>
      <c r="AU12" s="3">
        <v>64804846.1</v>
      </c>
      <c r="AV12" s="3">
        <f t="shared" si="3"/>
        <v>64804.8461</v>
      </c>
      <c r="AX12" s="3">
        <v>74454621.24</v>
      </c>
      <c r="AY12" s="3">
        <f>AX12/1000</f>
        <v>74454.62124</v>
      </c>
      <c r="AZ12" s="3">
        <v>88531182.33</v>
      </c>
      <c r="BA12" s="3">
        <f>AZ12/1000</f>
        <v>88531.18233</v>
      </c>
      <c r="BB12" s="3">
        <v>93726158.75999999</v>
      </c>
      <c r="BC12" s="3">
        <f>BB12/1000</f>
        <v>93726.15875999999</v>
      </c>
      <c r="BD12" s="3">
        <v>92417486.36999999</v>
      </c>
      <c r="BE12" s="3">
        <f>BD12/1000</f>
        <v>92417.48636999998</v>
      </c>
    </row>
    <row r="13" spans="1:57" ht="12.75">
      <c r="A13" s="1" t="s">
        <v>7</v>
      </c>
      <c r="B13" s="14">
        <v>203641</v>
      </c>
      <c r="C13" s="1">
        <v>198643</v>
      </c>
      <c r="D13" s="1">
        <v>211968</v>
      </c>
      <c r="E13" s="1">
        <v>224235</v>
      </c>
      <c r="F13" s="1">
        <v>228397</v>
      </c>
      <c r="G13" s="1">
        <v>239759.51284999997</v>
      </c>
      <c r="H13" s="1">
        <v>271107.32389999996</v>
      </c>
      <c r="I13" s="1">
        <v>309597.22786000004</v>
      </c>
      <c r="J13" s="1">
        <v>328199.48420999997</v>
      </c>
      <c r="K13" s="1">
        <v>325975.27604899986</v>
      </c>
      <c r="L13" s="244">
        <f>(K13-J13)*100/J13</f>
        <v>-0.67770007815641</v>
      </c>
      <c r="M13" s="244">
        <f>(K13-AC13)*100/AC13</f>
        <v>69.54390066314369</v>
      </c>
      <c r="N13" s="14">
        <v>92071</v>
      </c>
      <c r="O13" s="14">
        <v>99282</v>
      </c>
      <c r="P13" s="14">
        <v>108143</v>
      </c>
      <c r="Q13" s="14">
        <v>116727</v>
      </c>
      <c r="R13" s="14">
        <v>125441</v>
      </c>
      <c r="S13" s="14">
        <v>134602</v>
      </c>
      <c r="T13" s="14">
        <v>145661</v>
      </c>
      <c r="U13" s="14">
        <v>150959</v>
      </c>
      <c r="V13" s="14">
        <v>156689</v>
      </c>
      <c r="W13" s="14">
        <v>154386</v>
      </c>
      <c r="X13" s="14">
        <v>158598</v>
      </c>
      <c r="Y13" s="14">
        <v>165298</v>
      </c>
      <c r="Z13" s="14">
        <v>172092</v>
      </c>
      <c r="AA13" s="14">
        <v>179696</v>
      </c>
      <c r="AB13" s="14">
        <v>183503</v>
      </c>
      <c r="AC13" s="14">
        <v>192266</v>
      </c>
      <c r="AD13" s="14"/>
      <c r="AE13" s="14"/>
      <c r="AF13" s="3">
        <v>203641256</v>
      </c>
      <c r="AG13" s="3">
        <f>AF13/1000</f>
        <v>203641.256</v>
      </c>
      <c r="AI13" s="3">
        <v>198643436</v>
      </c>
      <c r="AJ13" s="3">
        <f>AI13/1000</f>
        <v>198643.436</v>
      </c>
      <c r="AL13" s="3">
        <v>211968280</v>
      </c>
      <c r="AM13" s="3">
        <f>AL13/1000</f>
        <v>211968.28</v>
      </c>
      <c r="AO13" s="3">
        <v>224234666</v>
      </c>
      <c r="AP13" s="3">
        <f>AO13/1000</f>
        <v>224234.666</v>
      </c>
      <c r="AR13" s="3">
        <v>228396801</v>
      </c>
      <c r="AS13" s="3">
        <f t="shared" si="2"/>
        <v>228396.801</v>
      </c>
      <c r="AU13" s="3">
        <v>239759512.84999996</v>
      </c>
      <c r="AV13" s="3">
        <f t="shared" si="3"/>
        <v>239759.51284999997</v>
      </c>
      <c r="AX13" s="3">
        <v>271107323.9</v>
      </c>
      <c r="AY13" s="3">
        <f>AX13/1000</f>
        <v>271107.32389999996</v>
      </c>
      <c r="AZ13" s="3">
        <v>309597227.86</v>
      </c>
      <c r="BA13" s="3">
        <f>AZ13/1000</f>
        <v>309597.22786000004</v>
      </c>
      <c r="BB13" s="3">
        <v>328199484.21</v>
      </c>
      <c r="BC13" s="3">
        <f>BB13/1000</f>
        <v>328199.48420999997</v>
      </c>
      <c r="BD13" s="3">
        <v>325975276.04899985</v>
      </c>
      <c r="BE13" s="3">
        <f>BD13/1000</f>
        <v>325975.27604899986</v>
      </c>
    </row>
    <row r="14" spans="1:57" ht="12.75">
      <c r="A14" s="1" t="s">
        <v>8</v>
      </c>
      <c r="B14" s="1">
        <v>580166</v>
      </c>
      <c r="C14" s="1">
        <v>564195</v>
      </c>
      <c r="D14" s="1">
        <v>572039</v>
      </c>
      <c r="E14" s="1">
        <v>593685</v>
      </c>
      <c r="F14" s="1">
        <v>647566</v>
      </c>
      <c r="G14" s="1">
        <v>717755.90553</v>
      </c>
      <c r="H14" s="1">
        <v>772744.1320900001</v>
      </c>
      <c r="I14" s="1">
        <v>878817.84284</v>
      </c>
      <c r="J14" s="1">
        <v>906918.5730099999</v>
      </c>
      <c r="K14" s="1">
        <v>871046.73511</v>
      </c>
      <c r="L14" s="244">
        <f>(K14-J14)*100/J14</f>
        <v>-3.955353762460039</v>
      </c>
      <c r="M14" s="244">
        <f>(K14-AC14)*100/AC14</f>
        <v>62.60185126742369</v>
      </c>
      <c r="N14" s="14">
        <v>200985</v>
      </c>
      <c r="O14" s="14">
        <v>221168</v>
      </c>
      <c r="P14" s="14">
        <v>236677</v>
      </c>
      <c r="Q14" s="14">
        <v>252274</v>
      </c>
      <c r="R14" s="14">
        <v>263456</v>
      </c>
      <c r="S14" s="14">
        <v>286869</v>
      </c>
      <c r="T14" s="14">
        <v>311258</v>
      </c>
      <c r="U14" s="14">
        <v>332330</v>
      </c>
      <c r="V14" s="14">
        <v>371677</v>
      </c>
      <c r="W14" s="14">
        <v>388191</v>
      </c>
      <c r="X14" s="14">
        <v>398957</v>
      </c>
      <c r="Y14" s="14">
        <v>418500</v>
      </c>
      <c r="Z14" s="14">
        <v>427969</v>
      </c>
      <c r="AA14" s="14">
        <v>487607</v>
      </c>
      <c r="AB14" s="14">
        <v>530367</v>
      </c>
      <c r="AC14" s="14">
        <v>535693</v>
      </c>
      <c r="AD14" s="14"/>
      <c r="AE14" s="14"/>
      <c r="AF14" s="3">
        <v>580166324</v>
      </c>
      <c r="AG14" s="3">
        <f>AF14/1000</f>
        <v>580166.324</v>
      </c>
      <c r="AI14" s="3">
        <v>564194800</v>
      </c>
      <c r="AJ14" s="3">
        <f>AI14/1000</f>
        <v>564194.8</v>
      </c>
      <c r="AL14" s="3">
        <v>572039102</v>
      </c>
      <c r="AM14" s="3">
        <f>AL14/1000</f>
        <v>572039.102</v>
      </c>
      <c r="AO14" s="3">
        <v>593685348</v>
      </c>
      <c r="AP14" s="3">
        <f>AO14/1000</f>
        <v>593685.348</v>
      </c>
      <c r="AR14" s="3">
        <v>647566411</v>
      </c>
      <c r="AS14" s="3">
        <f t="shared" si="2"/>
        <v>647566.411</v>
      </c>
      <c r="AU14" s="3">
        <v>717755905.53</v>
      </c>
      <c r="AV14" s="3">
        <f t="shared" si="3"/>
        <v>717755.90553</v>
      </c>
      <c r="AX14" s="3">
        <v>772744132.09</v>
      </c>
      <c r="AY14" s="3">
        <f>AX14/1000</f>
        <v>772744.1320900001</v>
      </c>
      <c r="AZ14" s="3">
        <v>878817842.84</v>
      </c>
      <c r="BA14" s="3">
        <f>AZ14/1000</f>
        <v>878817.84284</v>
      </c>
      <c r="BB14" s="3">
        <v>906918573.01</v>
      </c>
      <c r="BC14" s="3">
        <f>BB14/1000</f>
        <v>906918.5730099999</v>
      </c>
      <c r="BD14" s="3">
        <v>871046735.11</v>
      </c>
      <c r="BE14" s="3">
        <f>BD14/1000</f>
        <v>871046.73511</v>
      </c>
    </row>
    <row r="15" spans="1:57" ht="12.75">
      <c r="A15" s="1" t="s">
        <v>9</v>
      </c>
      <c r="B15" s="1">
        <v>311112</v>
      </c>
      <c r="C15" s="1">
        <v>309774</v>
      </c>
      <c r="D15" s="1">
        <v>342365</v>
      </c>
      <c r="E15" s="1">
        <v>358620</v>
      </c>
      <c r="F15" s="1">
        <v>395864</v>
      </c>
      <c r="G15" s="1">
        <v>439043.74265</v>
      </c>
      <c r="H15" s="1">
        <v>498766.28166000004</v>
      </c>
      <c r="I15" s="1">
        <v>578654.2652</v>
      </c>
      <c r="J15" s="1">
        <v>595386.3542</v>
      </c>
      <c r="K15" s="1">
        <v>587119.42802</v>
      </c>
      <c r="L15" s="244">
        <f>(K15-J15)*100/J15</f>
        <v>-1.3884977580831415</v>
      </c>
      <c r="M15" s="244">
        <f>(K15-AC15)*100/AC15</f>
        <v>109.24833045957553</v>
      </c>
      <c r="N15" s="14">
        <v>110037</v>
      </c>
      <c r="O15" s="14">
        <v>112318</v>
      </c>
      <c r="P15" s="14">
        <v>123280</v>
      </c>
      <c r="Q15" s="14">
        <v>134919</v>
      </c>
      <c r="R15" s="14">
        <v>147759</v>
      </c>
      <c r="S15" s="14">
        <v>157959</v>
      </c>
      <c r="T15" s="14">
        <v>171887</v>
      </c>
      <c r="U15" s="14">
        <v>180069</v>
      </c>
      <c r="V15" s="14">
        <v>194966</v>
      </c>
      <c r="W15" s="14">
        <v>196064</v>
      </c>
      <c r="X15" s="14">
        <v>208757</v>
      </c>
      <c r="Y15" s="14">
        <v>225656</v>
      </c>
      <c r="Z15" s="14">
        <v>239301</v>
      </c>
      <c r="AA15" s="14">
        <v>263698</v>
      </c>
      <c r="AB15" s="14">
        <v>279677</v>
      </c>
      <c r="AC15" s="14">
        <v>280585</v>
      </c>
      <c r="AD15" s="14"/>
      <c r="AE15" s="14"/>
      <c r="AF15" s="3">
        <v>311112268</v>
      </c>
      <c r="AG15" s="3">
        <f>AF15/1000</f>
        <v>311112.268</v>
      </c>
      <c r="AI15" s="3">
        <v>309774418</v>
      </c>
      <c r="AJ15" s="3">
        <f>AI15/1000</f>
        <v>309774.418</v>
      </c>
      <c r="AL15" s="3">
        <v>342365185</v>
      </c>
      <c r="AM15" s="3">
        <f>AL15/1000</f>
        <v>342365.185</v>
      </c>
      <c r="AO15" s="3">
        <v>358620438</v>
      </c>
      <c r="AP15" s="3">
        <f>AO15/1000</f>
        <v>358620.438</v>
      </c>
      <c r="AR15" s="3">
        <v>395863501</v>
      </c>
      <c r="AS15" s="3">
        <f t="shared" si="2"/>
        <v>395863.501</v>
      </c>
      <c r="AU15" s="3">
        <v>439043742.65</v>
      </c>
      <c r="AV15" s="3">
        <f t="shared" si="3"/>
        <v>439043.74265</v>
      </c>
      <c r="AX15" s="3">
        <v>498766281.66</v>
      </c>
      <c r="AY15" s="3">
        <f>AX15/1000</f>
        <v>498766.28166000004</v>
      </c>
      <c r="AZ15" s="3">
        <v>578654265.2</v>
      </c>
      <c r="BA15" s="3">
        <f>AZ15/1000</f>
        <v>578654.2652</v>
      </c>
      <c r="BB15" s="3">
        <v>595386354.1999999</v>
      </c>
      <c r="BC15" s="3">
        <f>BB15/1000</f>
        <v>595386.3542</v>
      </c>
      <c r="BD15" s="3">
        <v>587119428.02</v>
      </c>
      <c r="BE15" s="3">
        <f>BD15/1000</f>
        <v>587119.42802</v>
      </c>
    </row>
    <row r="16" spans="1:57" ht="12.75">
      <c r="A16" s="1" t="s">
        <v>10</v>
      </c>
      <c r="B16" s="1">
        <v>46050</v>
      </c>
      <c r="C16" s="1">
        <v>49652</v>
      </c>
      <c r="D16" s="1">
        <v>56030</v>
      </c>
      <c r="E16" s="1">
        <v>62681</v>
      </c>
      <c r="F16" s="1">
        <v>67630</v>
      </c>
      <c r="G16" s="1">
        <v>74973.89966</v>
      </c>
      <c r="H16" s="1">
        <v>82208.90788000001</v>
      </c>
      <c r="I16" s="1">
        <v>95345.86065999998</v>
      </c>
      <c r="J16" s="1">
        <v>99231.75284</v>
      </c>
      <c r="K16" s="1">
        <v>99063.46418</v>
      </c>
      <c r="L16" s="244">
        <f>(K16-J16)*100/J16</f>
        <v>-0.16959154220660808</v>
      </c>
      <c r="M16" s="244">
        <f>(K16-AC16)*100/AC16</f>
        <v>137.53378295168443</v>
      </c>
      <c r="N16" s="14">
        <v>9620</v>
      </c>
      <c r="O16" s="14">
        <v>10997</v>
      </c>
      <c r="P16" s="14">
        <v>12517</v>
      </c>
      <c r="Q16" s="14">
        <v>14189</v>
      </c>
      <c r="R16" s="14">
        <v>16012</v>
      </c>
      <c r="S16" s="14">
        <v>18275</v>
      </c>
      <c r="T16" s="14">
        <v>21713</v>
      </c>
      <c r="U16" s="14">
        <v>24111</v>
      </c>
      <c r="V16" s="14">
        <v>26394</v>
      </c>
      <c r="W16" s="14">
        <v>26272</v>
      </c>
      <c r="X16" s="14">
        <v>28661</v>
      </c>
      <c r="Y16" s="14">
        <v>30643</v>
      </c>
      <c r="Z16" s="14">
        <v>33668</v>
      </c>
      <c r="AA16" s="14">
        <v>37031</v>
      </c>
      <c r="AB16" s="14">
        <v>39524</v>
      </c>
      <c r="AC16" s="14">
        <v>41705</v>
      </c>
      <c r="AD16" s="14"/>
      <c r="AE16" s="14"/>
      <c r="AF16" s="3">
        <v>46049798</v>
      </c>
      <c r="AG16" s="3">
        <f>AF16/1000</f>
        <v>46049.798</v>
      </c>
      <c r="AI16" s="3">
        <v>49651794</v>
      </c>
      <c r="AJ16" s="3">
        <f>AI16/1000</f>
        <v>49651.794</v>
      </c>
      <c r="AL16" s="3">
        <v>56030341</v>
      </c>
      <c r="AM16" s="3">
        <f>AL16/1000</f>
        <v>56030.341</v>
      </c>
      <c r="AO16" s="3">
        <v>62681107</v>
      </c>
      <c r="AP16" s="3">
        <f>AO16/1000</f>
        <v>62681.107</v>
      </c>
      <c r="AR16" s="3">
        <v>67629729</v>
      </c>
      <c r="AS16" s="3">
        <f t="shared" si="2"/>
        <v>67629.729</v>
      </c>
      <c r="AU16" s="3">
        <v>74973899.66</v>
      </c>
      <c r="AV16" s="3">
        <f t="shared" si="3"/>
        <v>74973.89966</v>
      </c>
      <c r="AX16" s="3">
        <v>82208907.88000001</v>
      </c>
      <c r="AY16" s="3">
        <f>AX16/1000</f>
        <v>82208.90788000001</v>
      </c>
      <c r="AZ16" s="3">
        <v>95345860.65999998</v>
      </c>
      <c r="BA16" s="3">
        <f>AZ16/1000</f>
        <v>95345.86065999998</v>
      </c>
      <c r="BB16" s="3">
        <v>99231752.84</v>
      </c>
      <c r="BC16" s="3">
        <f>BB16/1000</f>
        <v>99231.75284</v>
      </c>
      <c r="BD16" s="3">
        <v>99063464.17999999</v>
      </c>
      <c r="BE16" s="3">
        <f>BD16/1000</f>
        <v>99063.46418</v>
      </c>
    </row>
    <row r="17" spans="12:33" ht="12.75">
      <c r="L17" s="244"/>
      <c r="M17" s="2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3"/>
      <c r="AG17" s="3"/>
    </row>
    <row r="18" spans="1:57" ht="12.75">
      <c r="A18" s="1" t="s">
        <v>11</v>
      </c>
      <c r="B18" s="1">
        <v>23681</v>
      </c>
      <c r="C18" s="1">
        <v>24629</v>
      </c>
      <c r="D18" s="1">
        <v>27385</v>
      </c>
      <c r="E18" s="1">
        <v>29577</v>
      </c>
      <c r="F18" s="1">
        <v>31088</v>
      </c>
      <c r="G18" s="1">
        <v>34209.09807</v>
      </c>
      <c r="H18" s="1">
        <v>39598.5092</v>
      </c>
      <c r="I18" s="1">
        <v>45177.96501</v>
      </c>
      <c r="J18" s="1">
        <v>46566.385350000004</v>
      </c>
      <c r="K18" s="1">
        <v>45530.08645</v>
      </c>
      <c r="L18" s="244">
        <f>(K18-J18)*100/J18</f>
        <v>-2.2254226782066553</v>
      </c>
      <c r="M18" s="244">
        <f>(K18-AC18)*100/AC18</f>
        <v>98.81265643421686</v>
      </c>
      <c r="N18" s="14">
        <v>7587</v>
      </c>
      <c r="O18" s="14">
        <v>8223</v>
      </c>
      <c r="P18" s="14">
        <v>9196</v>
      </c>
      <c r="Q18" s="14">
        <v>10357</v>
      </c>
      <c r="R18" s="14">
        <v>11147</v>
      </c>
      <c r="S18" s="14">
        <v>12152</v>
      </c>
      <c r="T18" s="14">
        <v>13256</v>
      </c>
      <c r="U18" s="14">
        <v>14512</v>
      </c>
      <c r="V18" s="14">
        <v>15808</v>
      </c>
      <c r="W18" s="14">
        <v>16112</v>
      </c>
      <c r="X18" s="14">
        <v>17211</v>
      </c>
      <c r="Y18" s="14">
        <v>18265</v>
      </c>
      <c r="Z18" s="14">
        <v>20087</v>
      </c>
      <c r="AA18" s="14">
        <v>21135</v>
      </c>
      <c r="AB18" s="14">
        <v>22230</v>
      </c>
      <c r="AC18" s="14">
        <v>22901</v>
      </c>
      <c r="AD18" s="14"/>
      <c r="AE18" s="14"/>
      <c r="AF18" s="3">
        <v>23681420</v>
      </c>
      <c r="AG18" s="3">
        <f>AF18/1000</f>
        <v>23681.42</v>
      </c>
      <c r="AI18" s="3">
        <v>24628892</v>
      </c>
      <c r="AJ18" s="3">
        <f>AI18/1000</f>
        <v>24628.892</v>
      </c>
      <c r="AL18" s="3">
        <v>27385126</v>
      </c>
      <c r="AM18" s="3">
        <f>AL18/1000</f>
        <v>27385.126</v>
      </c>
      <c r="AO18" s="3">
        <v>29577443</v>
      </c>
      <c r="AP18" s="3">
        <f>AO18/1000</f>
        <v>29577.443</v>
      </c>
      <c r="AR18" s="3">
        <v>31087966</v>
      </c>
      <c r="AS18" s="3">
        <f t="shared" si="2"/>
        <v>31087.966</v>
      </c>
      <c r="AU18" s="3">
        <v>34209098.07</v>
      </c>
      <c r="AV18" s="3">
        <f t="shared" si="3"/>
        <v>34209.09807</v>
      </c>
      <c r="AX18" s="3">
        <v>39598509.2</v>
      </c>
      <c r="AY18" s="3">
        <f>AX18/1000</f>
        <v>39598.5092</v>
      </c>
      <c r="AZ18" s="3">
        <v>45177965.01</v>
      </c>
      <c r="BA18" s="3">
        <f>AZ18/1000</f>
        <v>45177.96501</v>
      </c>
      <c r="BB18" s="3">
        <v>46566385.35</v>
      </c>
      <c r="BC18" s="3">
        <f>BB18/1000</f>
        <v>46566.385350000004</v>
      </c>
      <c r="BD18" s="3">
        <v>45530086.45</v>
      </c>
      <c r="BE18" s="3">
        <f>BD18/1000</f>
        <v>45530.08645</v>
      </c>
    </row>
    <row r="19" spans="1:57" ht="12.75">
      <c r="A19" s="1" t="s">
        <v>12</v>
      </c>
      <c r="B19" s="1">
        <v>91478</v>
      </c>
      <c r="C19" s="1">
        <v>89002</v>
      </c>
      <c r="D19" s="1">
        <v>96606</v>
      </c>
      <c r="E19" s="1">
        <v>103423</v>
      </c>
      <c r="F19" s="1">
        <v>112889</v>
      </c>
      <c r="G19" s="1">
        <v>124237.95775999999</v>
      </c>
      <c r="H19" s="1">
        <v>138616.62263</v>
      </c>
      <c r="I19" s="1">
        <v>157765.42489000002</v>
      </c>
      <c r="J19" s="1">
        <v>163637.25704</v>
      </c>
      <c r="K19" s="1">
        <v>161120.1764</v>
      </c>
      <c r="L19" s="244">
        <f>(K19-J19)*100/J19</f>
        <v>-1.5382075485320053</v>
      </c>
      <c r="M19" s="244">
        <f>(K19-AC19)*100/AC19</f>
        <v>95.85745453661383</v>
      </c>
      <c r="N19" s="14">
        <v>27889</v>
      </c>
      <c r="O19" s="14">
        <v>30925</v>
      </c>
      <c r="P19" s="14">
        <v>34474</v>
      </c>
      <c r="Q19" s="14">
        <v>38792</v>
      </c>
      <c r="R19" s="14">
        <v>42629</v>
      </c>
      <c r="S19" s="14">
        <v>46693</v>
      </c>
      <c r="T19" s="14">
        <v>51564</v>
      </c>
      <c r="U19" s="14">
        <v>55569</v>
      </c>
      <c r="V19" s="14">
        <v>60679</v>
      </c>
      <c r="W19" s="14">
        <v>60589</v>
      </c>
      <c r="X19" s="14">
        <v>63373</v>
      </c>
      <c r="Y19" s="14">
        <v>66144</v>
      </c>
      <c r="Z19" s="14">
        <v>70315</v>
      </c>
      <c r="AA19" s="14">
        <v>76325</v>
      </c>
      <c r="AB19" s="14">
        <v>79649</v>
      </c>
      <c r="AC19" s="14">
        <v>82264</v>
      </c>
      <c r="AD19" s="14"/>
      <c r="AE19" s="14"/>
      <c r="AF19" s="3">
        <v>91478208</v>
      </c>
      <c r="AG19" s="3">
        <f>AF19/1000</f>
        <v>91478.208</v>
      </c>
      <c r="AI19" s="3">
        <v>89001775</v>
      </c>
      <c r="AJ19" s="3">
        <f>AI19/1000</f>
        <v>89001.775</v>
      </c>
      <c r="AL19" s="3">
        <v>96606306</v>
      </c>
      <c r="AM19" s="3">
        <f>AL19/1000</f>
        <v>96606.306</v>
      </c>
      <c r="AO19" s="3">
        <v>103423006</v>
      </c>
      <c r="AP19" s="3">
        <f>AO19/1000</f>
        <v>103423.006</v>
      </c>
      <c r="AR19" s="3">
        <v>112889101</v>
      </c>
      <c r="AS19" s="3">
        <f t="shared" si="2"/>
        <v>112889.101</v>
      </c>
      <c r="AU19" s="3">
        <v>124237957.75999999</v>
      </c>
      <c r="AV19" s="3">
        <f t="shared" si="3"/>
        <v>124237.95775999999</v>
      </c>
      <c r="AX19" s="3">
        <v>138616622.63</v>
      </c>
      <c r="AY19" s="3">
        <f>AX19/1000</f>
        <v>138616.62263</v>
      </c>
      <c r="AZ19" s="3">
        <v>157765424.89000002</v>
      </c>
      <c r="BA19" s="3">
        <f>AZ19/1000</f>
        <v>157765.42489000002</v>
      </c>
      <c r="BB19" s="3">
        <v>163637257.04</v>
      </c>
      <c r="BC19" s="3">
        <f>BB19/1000</f>
        <v>163637.25704</v>
      </c>
      <c r="BD19" s="3">
        <v>161120176.4</v>
      </c>
      <c r="BE19" s="3">
        <f>BD19/1000</f>
        <v>161120.1764</v>
      </c>
    </row>
    <row r="20" spans="1:57" ht="12.75">
      <c r="A20" s="1" t="s">
        <v>13</v>
      </c>
      <c r="B20" s="1">
        <v>60672</v>
      </c>
      <c r="C20" s="1">
        <v>57827</v>
      </c>
      <c r="D20" s="1">
        <v>63184</v>
      </c>
      <c r="E20" s="1">
        <v>67223</v>
      </c>
      <c r="F20" s="1">
        <v>74185</v>
      </c>
      <c r="G20" s="1">
        <v>83794.43268000001</v>
      </c>
      <c r="H20" s="1">
        <v>93891.13490999998</v>
      </c>
      <c r="I20" s="1">
        <v>107454.70377999998</v>
      </c>
      <c r="J20" s="1">
        <v>109769.40849</v>
      </c>
      <c r="K20" s="1">
        <v>108729.02154000002</v>
      </c>
      <c r="L20" s="244">
        <f>(K20-J20)*100/J20</f>
        <v>-0.9477931641535309</v>
      </c>
      <c r="M20" s="244">
        <f>(K20-AC20)*100/AC20</f>
        <v>115.4628570239582</v>
      </c>
      <c r="N20" s="14">
        <v>19246</v>
      </c>
      <c r="O20" s="14">
        <v>20980</v>
      </c>
      <c r="P20" s="14">
        <v>23294</v>
      </c>
      <c r="Q20" s="14">
        <v>25107</v>
      </c>
      <c r="R20" s="14">
        <v>26949</v>
      </c>
      <c r="S20" s="14">
        <v>30324</v>
      </c>
      <c r="T20" s="14">
        <v>32520</v>
      </c>
      <c r="U20" s="14">
        <v>34659</v>
      </c>
      <c r="V20" s="14">
        <v>38098</v>
      </c>
      <c r="W20" s="14">
        <v>37964</v>
      </c>
      <c r="X20" s="14">
        <v>39731</v>
      </c>
      <c r="Y20" s="14">
        <v>41464</v>
      </c>
      <c r="Z20" s="14">
        <v>44171</v>
      </c>
      <c r="AA20" s="14">
        <v>46617</v>
      </c>
      <c r="AB20" s="14">
        <v>49585</v>
      </c>
      <c r="AC20" s="14">
        <v>50463</v>
      </c>
      <c r="AD20" s="14"/>
      <c r="AE20" s="14"/>
      <c r="AF20" s="3">
        <v>60672394</v>
      </c>
      <c r="AG20" s="3">
        <f>AF20/1000</f>
        <v>60672.394</v>
      </c>
      <c r="AI20" s="3">
        <v>57826657</v>
      </c>
      <c r="AJ20" s="3">
        <f>AI20/1000</f>
        <v>57826.657</v>
      </c>
      <c r="AL20" s="3">
        <v>63183675</v>
      </c>
      <c r="AM20" s="3">
        <f>AL20/1000</f>
        <v>63183.675</v>
      </c>
      <c r="AO20" s="3">
        <v>67222840</v>
      </c>
      <c r="AP20" s="3">
        <f>AO20/1000</f>
        <v>67222.84</v>
      </c>
      <c r="AR20" s="3">
        <v>74184743</v>
      </c>
      <c r="AS20" s="3">
        <f t="shared" si="2"/>
        <v>74184.743</v>
      </c>
      <c r="AU20" s="3">
        <v>83794432.68</v>
      </c>
      <c r="AV20" s="3">
        <f t="shared" si="3"/>
        <v>83794.43268000001</v>
      </c>
      <c r="AX20" s="3">
        <v>93891134.90999998</v>
      </c>
      <c r="AY20" s="3">
        <f>AX20/1000</f>
        <v>93891.13490999998</v>
      </c>
      <c r="AZ20" s="3">
        <v>107454703.77999999</v>
      </c>
      <c r="BA20" s="3">
        <f>AZ20/1000</f>
        <v>107454.70377999998</v>
      </c>
      <c r="BB20" s="3">
        <v>109769408.49</v>
      </c>
      <c r="BC20" s="3">
        <f>BB20/1000</f>
        <v>109769.40849</v>
      </c>
      <c r="BD20" s="3">
        <v>108729021.54000002</v>
      </c>
      <c r="BE20" s="3">
        <f>BD20/1000</f>
        <v>108729.02154000002</v>
      </c>
    </row>
    <row r="21" spans="1:57" ht="12.75">
      <c r="A21" s="1" t="s">
        <v>14</v>
      </c>
      <c r="B21" s="1">
        <v>81031</v>
      </c>
      <c r="C21" s="1">
        <v>81871</v>
      </c>
      <c r="D21" s="1">
        <v>88252</v>
      </c>
      <c r="E21" s="1">
        <v>98455</v>
      </c>
      <c r="F21" s="1">
        <v>108380</v>
      </c>
      <c r="G21" s="1">
        <v>122740.00019</v>
      </c>
      <c r="H21" s="1">
        <v>140687.20911000003</v>
      </c>
      <c r="I21" s="1">
        <v>160574.78324000002</v>
      </c>
      <c r="J21" s="1">
        <v>170065.95554999998</v>
      </c>
      <c r="K21" s="1">
        <v>167117.38925</v>
      </c>
      <c r="L21" s="244">
        <f>(K21-J21)*100/J21</f>
        <v>-1.7337781041856364</v>
      </c>
      <c r="M21" s="244">
        <f>(K21-AC21)*100/AC21</f>
        <v>135.85495829569834</v>
      </c>
      <c r="N21" s="14">
        <v>26852</v>
      </c>
      <c r="O21" s="14">
        <v>29536</v>
      </c>
      <c r="P21" s="14">
        <v>32225</v>
      </c>
      <c r="Q21" s="14">
        <v>34718</v>
      </c>
      <c r="R21" s="14">
        <v>38041</v>
      </c>
      <c r="S21" s="14">
        <v>42150</v>
      </c>
      <c r="T21" s="14">
        <v>45828</v>
      </c>
      <c r="U21" s="14">
        <v>50314</v>
      </c>
      <c r="V21" s="14">
        <v>54374</v>
      </c>
      <c r="W21" s="14">
        <v>54038</v>
      </c>
      <c r="X21" s="14">
        <v>56040</v>
      </c>
      <c r="Y21" s="14">
        <v>58156</v>
      </c>
      <c r="Z21" s="14">
        <v>61443</v>
      </c>
      <c r="AA21" s="14">
        <v>64831</v>
      </c>
      <c r="AB21" s="14">
        <v>66595</v>
      </c>
      <c r="AC21" s="14">
        <v>70856</v>
      </c>
      <c r="AD21" s="14"/>
      <c r="AE21" s="14"/>
      <c r="AF21" s="3">
        <v>81030846</v>
      </c>
      <c r="AG21" s="3">
        <f>AF21/1000</f>
        <v>81030.846</v>
      </c>
      <c r="AI21" s="3">
        <v>81870694</v>
      </c>
      <c r="AJ21" s="3">
        <f>AI21/1000</f>
        <v>81870.694</v>
      </c>
      <c r="AL21" s="3">
        <v>88251848</v>
      </c>
      <c r="AM21" s="3">
        <f>AL21/1000</f>
        <v>88251.848</v>
      </c>
      <c r="AO21" s="3">
        <v>98455137</v>
      </c>
      <c r="AP21" s="3">
        <f>AO21/1000</f>
        <v>98455.137</v>
      </c>
      <c r="AR21" s="3">
        <v>108379802</v>
      </c>
      <c r="AS21" s="3">
        <f t="shared" si="2"/>
        <v>108379.802</v>
      </c>
      <c r="AU21" s="3">
        <v>122740000.19000001</v>
      </c>
      <c r="AV21" s="3">
        <f t="shared" si="3"/>
        <v>122740.00019</v>
      </c>
      <c r="AX21" s="3">
        <v>140687209.11</v>
      </c>
      <c r="AY21" s="3">
        <f>AX21/1000</f>
        <v>140687.20911000003</v>
      </c>
      <c r="AZ21" s="3">
        <v>160574783.24</v>
      </c>
      <c r="BA21" s="3">
        <f>AZ21/1000</f>
        <v>160574.78324000002</v>
      </c>
      <c r="BB21" s="3">
        <v>170065955.54999998</v>
      </c>
      <c r="BC21" s="3">
        <f>BB21/1000</f>
        <v>170065.95554999998</v>
      </c>
      <c r="BD21" s="3">
        <v>167117389.25</v>
      </c>
      <c r="BE21" s="3">
        <f>BD21/1000</f>
        <v>167117.38925</v>
      </c>
    </row>
    <row r="22" spans="1:57" ht="12.75">
      <c r="A22" s="1" t="s">
        <v>15</v>
      </c>
      <c r="B22" s="1">
        <v>20550</v>
      </c>
      <c r="C22" s="1">
        <v>19809</v>
      </c>
      <c r="D22" s="1">
        <v>20290</v>
      </c>
      <c r="E22" s="1">
        <v>22468</v>
      </c>
      <c r="F22" s="1">
        <v>23721</v>
      </c>
      <c r="G22" s="1">
        <v>26101.929309999996</v>
      </c>
      <c r="H22" s="1">
        <v>28313.38904</v>
      </c>
      <c r="I22" s="1">
        <v>33101.61227</v>
      </c>
      <c r="J22" s="1">
        <v>33865.32932</v>
      </c>
      <c r="K22" s="1">
        <v>32675.951239999995</v>
      </c>
      <c r="L22" s="244">
        <f>(K22-J22)*100/J22</f>
        <v>-3.5120818367402853</v>
      </c>
      <c r="M22" s="244">
        <f>(K22-AC22)*100/AC22</f>
        <v>75.73384554157252</v>
      </c>
      <c r="N22" s="14">
        <v>8438</v>
      </c>
      <c r="O22" s="14">
        <v>9340</v>
      </c>
      <c r="P22" s="14">
        <v>10012</v>
      </c>
      <c r="Q22" s="14">
        <v>10790</v>
      </c>
      <c r="R22" s="14">
        <v>11799</v>
      </c>
      <c r="S22" s="14">
        <v>13014</v>
      </c>
      <c r="T22" s="14">
        <v>13492</v>
      </c>
      <c r="U22" s="14">
        <v>13964</v>
      </c>
      <c r="V22" s="14">
        <v>14620</v>
      </c>
      <c r="W22" s="14">
        <v>15024</v>
      </c>
      <c r="X22" s="14">
        <v>16302</v>
      </c>
      <c r="Y22" s="14">
        <v>16535</v>
      </c>
      <c r="Z22" s="14">
        <v>17049</v>
      </c>
      <c r="AA22" s="14">
        <v>18082</v>
      </c>
      <c r="AB22" s="14">
        <v>18355</v>
      </c>
      <c r="AC22" s="14">
        <v>18594</v>
      </c>
      <c r="AD22" s="14"/>
      <c r="AE22" s="14"/>
      <c r="AF22" s="3">
        <v>20549933</v>
      </c>
      <c r="AG22" s="3">
        <f>AF22/1000</f>
        <v>20549.933</v>
      </c>
      <c r="AI22" s="3">
        <v>19809403</v>
      </c>
      <c r="AJ22" s="3">
        <f>AI22/1000</f>
        <v>19809.403</v>
      </c>
      <c r="AL22" s="3">
        <v>20290046</v>
      </c>
      <c r="AM22" s="3">
        <f>AL22/1000</f>
        <v>20290.046</v>
      </c>
      <c r="AO22" s="3">
        <v>22467509</v>
      </c>
      <c r="AP22" s="3">
        <f>AO22/1000</f>
        <v>22467.509</v>
      </c>
      <c r="AR22" s="3">
        <v>23721366</v>
      </c>
      <c r="AS22" s="3">
        <f t="shared" si="2"/>
        <v>23721.366</v>
      </c>
      <c r="AU22" s="3">
        <v>26101929.309999995</v>
      </c>
      <c r="AV22" s="3">
        <f t="shared" si="3"/>
        <v>26101.929309999996</v>
      </c>
      <c r="AX22" s="3">
        <v>28313389.04</v>
      </c>
      <c r="AY22" s="3">
        <f>AX22/1000</f>
        <v>28313.38904</v>
      </c>
      <c r="AZ22" s="3">
        <v>33101612.27</v>
      </c>
      <c r="BA22" s="3">
        <f>AZ22/1000</f>
        <v>33101.61227</v>
      </c>
      <c r="BB22" s="3">
        <v>33865329.32</v>
      </c>
      <c r="BC22" s="3">
        <f>BB22/1000</f>
        <v>33865.32932</v>
      </c>
      <c r="BD22" s="3">
        <v>32675951.239999995</v>
      </c>
      <c r="BE22" s="3">
        <f>BD22/1000</f>
        <v>32675.951239999995</v>
      </c>
    </row>
    <row r="23" spans="12:33" ht="12.75">
      <c r="L23" s="244"/>
      <c r="M23" s="24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3"/>
      <c r="AG23" s="3"/>
    </row>
    <row r="24" spans="1:57" ht="12.75">
      <c r="A24" s="1" t="s">
        <v>16</v>
      </c>
      <c r="B24" s="1">
        <v>123374</v>
      </c>
      <c r="C24" s="1">
        <v>114079</v>
      </c>
      <c r="D24" s="1">
        <v>126058</v>
      </c>
      <c r="E24" s="1">
        <v>134818</v>
      </c>
      <c r="F24" s="1">
        <v>147655</v>
      </c>
      <c r="G24" s="1">
        <v>168027.28598000002</v>
      </c>
      <c r="H24" s="1">
        <v>186694.64388000002</v>
      </c>
      <c r="I24" s="1">
        <v>221501.43066999997</v>
      </c>
      <c r="J24" s="1">
        <v>232550.15436000002</v>
      </c>
      <c r="K24" s="1">
        <v>230456.26306999996</v>
      </c>
      <c r="L24" s="244">
        <f>(K24-J24)*100/J24</f>
        <v>-0.9004041712045491</v>
      </c>
      <c r="M24" s="244">
        <f>(K24-AC24)*100/AC24</f>
        <v>124.99561938746616</v>
      </c>
      <c r="N24" s="14">
        <v>33835</v>
      </c>
      <c r="O24" s="14">
        <v>37399</v>
      </c>
      <c r="P24" s="14">
        <v>41789</v>
      </c>
      <c r="Q24" s="14">
        <v>47039</v>
      </c>
      <c r="R24" s="14">
        <v>51551</v>
      </c>
      <c r="S24" s="14">
        <v>56444</v>
      </c>
      <c r="T24" s="14">
        <v>61171</v>
      </c>
      <c r="U24" s="14">
        <v>64482</v>
      </c>
      <c r="V24" s="14">
        <v>72707</v>
      </c>
      <c r="W24" s="14">
        <v>73628</v>
      </c>
      <c r="X24" s="14">
        <v>78050</v>
      </c>
      <c r="Y24" s="14">
        <v>82598</v>
      </c>
      <c r="Z24" s="14">
        <v>88670</v>
      </c>
      <c r="AA24" s="14">
        <v>95904</v>
      </c>
      <c r="AB24" s="14">
        <v>99874</v>
      </c>
      <c r="AC24" s="14">
        <v>102427</v>
      </c>
      <c r="AD24" s="14"/>
      <c r="AE24" s="14"/>
      <c r="AF24" s="3">
        <v>123374121</v>
      </c>
      <c r="AG24" s="3">
        <f>AF24/1000</f>
        <v>123374.121</v>
      </c>
      <c r="AI24" s="3">
        <v>114078830</v>
      </c>
      <c r="AJ24" s="3">
        <f>AI24/1000</f>
        <v>114078.83</v>
      </c>
      <c r="AL24" s="3">
        <v>126058340</v>
      </c>
      <c r="AM24" s="3">
        <f>AL24/1000</f>
        <v>126058.34</v>
      </c>
      <c r="AO24" s="3">
        <v>134817838</v>
      </c>
      <c r="AP24" s="3">
        <f>AO24/1000</f>
        <v>134817.838</v>
      </c>
      <c r="AR24" s="3">
        <v>147654563</v>
      </c>
      <c r="AS24" s="3">
        <f t="shared" si="2"/>
        <v>147654.563</v>
      </c>
      <c r="AU24" s="3">
        <v>168027285.98000002</v>
      </c>
      <c r="AV24" s="3">
        <f t="shared" si="3"/>
        <v>168027.28598000002</v>
      </c>
      <c r="AX24" s="3">
        <v>186694643.88000003</v>
      </c>
      <c r="AY24" s="3">
        <f>AX24/1000</f>
        <v>186694.64388000002</v>
      </c>
      <c r="AZ24" s="3">
        <v>221501430.67</v>
      </c>
      <c r="BA24" s="3">
        <f>AZ24/1000</f>
        <v>221501.43066999997</v>
      </c>
      <c r="BB24" s="3">
        <v>232550154.36</v>
      </c>
      <c r="BC24" s="3">
        <f>BB24/1000</f>
        <v>232550.15436000002</v>
      </c>
      <c r="BD24" s="3">
        <v>230456263.06999996</v>
      </c>
      <c r="BE24" s="3">
        <f>BD24/1000</f>
        <v>230456.26306999996</v>
      </c>
    </row>
    <row r="25" spans="1:57" ht="12.75">
      <c r="A25" s="1" t="s">
        <v>17</v>
      </c>
      <c r="B25" s="1">
        <v>19296</v>
      </c>
      <c r="C25" s="1">
        <v>19883</v>
      </c>
      <c r="D25" s="1">
        <v>21185</v>
      </c>
      <c r="E25" s="1">
        <v>21649</v>
      </c>
      <c r="F25" s="1">
        <v>22469</v>
      </c>
      <c r="G25" s="1">
        <v>23590.74985</v>
      </c>
      <c r="H25" s="1">
        <v>25784.38329</v>
      </c>
      <c r="I25" s="1">
        <v>28356.87232</v>
      </c>
      <c r="J25" s="1">
        <v>28736.90984</v>
      </c>
      <c r="K25" s="1">
        <v>28036.313459999998</v>
      </c>
      <c r="L25" s="244">
        <f>(K25-J25)*100/J25</f>
        <v>-2.4379670044578554</v>
      </c>
      <c r="M25" s="244">
        <f>(K25-AC25)*100/AC25</f>
        <v>46.43431244124098</v>
      </c>
      <c r="N25" s="14">
        <v>9159</v>
      </c>
      <c r="O25" s="14">
        <v>10368</v>
      </c>
      <c r="P25" s="14">
        <v>11165</v>
      </c>
      <c r="Q25" s="14">
        <v>12124</v>
      </c>
      <c r="R25" s="14">
        <v>13045</v>
      </c>
      <c r="S25" s="14">
        <v>14454</v>
      </c>
      <c r="T25" s="14">
        <v>15826</v>
      </c>
      <c r="U25" s="14">
        <v>15793</v>
      </c>
      <c r="V25" s="14">
        <v>16621</v>
      </c>
      <c r="W25" s="14">
        <v>16740</v>
      </c>
      <c r="X25" s="14">
        <v>17037</v>
      </c>
      <c r="Y25" s="14">
        <v>17472</v>
      </c>
      <c r="Z25" s="14">
        <v>17983</v>
      </c>
      <c r="AA25" s="14">
        <v>18709</v>
      </c>
      <c r="AB25" s="14">
        <v>19244</v>
      </c>
      <c r="AC25" s="14">
        <v>19146</v>
      </c>
      <c r="AD25" s="14"/>
      <c r="AE25" s="14"/>
      <c r="AF25" s="3">
        <v>19296050</v>
      </c>
      <c r="AG25" s="3">
        <f>AF25/1000</f>
        <v>19296.05</v>
      </c>
      <c r="AI25" s="3">
        <v>19882738</v>
      </c>
      <c r="AJ25" s="3">
        <f>AI25/1000</f>
        <v>19882.738</v>
      </c>
      <c r="AL25" s="3">
        <v>21184710</v>
      </c>
      <c r="AM25" s="3">
        <f>AL25/1000</f>
        <v>21184.71</v>
      </c>
      <c r="AO25" s="3">
        <v>21648811</v>
      </c>
      <c r="AP25" s="3">
        <f>AO25/1000</f>
        <v>21648.811</v>
      </c>
      <c r="AR25" s="3">
        <v>22468913</v>
      </c>
      <c r="AS25" s="3">
        <f t="shared" si="2"/>
        <v>22468.913</v>
      </c>
      <c r="AU25" s="3">
        <v>23590749.85</v>
      </c>
      <c r="AV25" s="3">
        <f t="shared" si="3"/>
        <v>23590.74985</v>
      </c>
      <c r="AX25" s="3">
        <v>25784383.290000003</v>
      </c>
      <c r="AY25" s="3">
        <f>AX25/1000</f>
        <v>25784.38329</v>
      </c>
      <c r="AZ25" s="3">
        <v>28356872.32</v>
      </c>
      <c r="BA25" s="3">
        <f>AZ25/1000</f>
        <v>28356.87232</v>
      </c>
      <c r="BB25" s="3">
        <v>28736909.84</v>
      </c>
      <c r="BC25" s="3">
        <f>BB25/1000</f>
        <v>28736.90984</v>
      </c>
      <c r="BD25" s="3">
        <v>28036313.459999997</v>
      </c>
      <c r="BE25" s="3">
        <f>BD25/1000</f>
        <v>28036.313459999998</v>
      </c>
    </row>
    <row r="26" spans="1:57" ht="12.75">
      <c r="A26" s="1" t="s">
        <v>18</v>
      </c>
      <c r="B26" s="1">
        <v>133398</v>
      </c>
      <c r="C26" s="1">
        <v>128187</v>
      </c>
      <c r="D26" s="1">
        <v>137276</v>
      </c>
      <c r="E26" s="1">
        <v>150070</v>
      </c>
      <c r="F26" s="1">
        <v>160971</v>
      </c>
      <c r="G26" s="1">
        <v>181556.2304</v>
      </c>
      <c r="H26" s="1">
        <v>204859.02591000003</v>
      </c>
      <c r="I26" s="1">
        <v>231877.00819999998</v>
      </c>
      <c r="J26" s="1">
        <v>238176.65834</v>
      </c>
      <c r="K26" s="1">
        <v>235764.93826</v>
      </c>
      <c r="L26" s="244">
        <f>(K26-J26)*100/J26</f>
        <v>-1.0125761679623704</v>
      </c>
      <c r="M26" s="244">
        <f>(K26-AC26)*100/AC26</f>
        <v>99.14765832397137</v>
      </c>
      <c r="N26" s="14">
        <v>41759</v>
      </c>
      <c r="O26" s="14">
        <v>45645</v>
      </c>
      <c r="P26" s="14">
        <v>50937</v>
      </c>
      <c r="Q26" s="14">
        <v>55088</v>
      </c>
      <c r="R26" s="14">
        <v>60013</v>
      </c>
      <c r="S26" s="14">
        <v>66327</v>
      </c>
      <c r="T26" s="14">
        <v>72964</v>
      </c>
      <c r="U26" s="14">
        <v>79729</v>
      </c>
      <c r="V26" s="14">
        <v>89015</v>
      </c>
      <c r="W26" s="14">
        <v>88834</v>
      </c>
      <c r="X26" s="14">
        <v>94386</v>
      </c>
      <c r="Y26" s="14">
        <v>99800</v>
      </c>
      <c r="Z26" s="14">
        <v>104847</v>
      </c>
      <c r="AA26" s="14">
        <v>111595</v>
      </c>
      <c r="AB26" s="14">
        <v>116063</v>
      </c>
      <c r="AC26" s="14">
        <v>118387</v>
      </c>
      <c r="AD26" s="14"/>
      <c r="AE26" s="14"/>
      <c r="AF26" s="3">
        <v>133398458</v>
      </c>
      <c r="AG26" s="3">
        <f>AF26/1000</f>
        <v>133398.458</v>
      </c>
      <c r="AI26" s="3">
        <v>128186665</v>
      </c>
      <c r="AJ26" s="3">
        <f>AI26/1000</f>
        <v>128186.665</v>
      </c>
      <c r="AL26" s="3">
        <v>137276258</v>
      </c>
      <c r="AM26" s="3">
        <f>AL26/1000</f>
        <v>137276.258</v>
      </c>
      <c r="AO26" s="3">
        <v>150070453</v>
      </c>
      <c r="AP26" s="3">
        <f>AO26/1000</f>
        <v>150070.453</v>
      </c>
      <c r="AR26" s="3">
        <v>160970937</v>
      </c>
      <c r="AS26" s="3">
        <f t="shared" si="2"/>
        <v>160970.937</v>
      </c>
      <c r="AU26" s="3">
        <v>181556230.4</v>
      </c>
      <c r="AV26" s="3">
        <f t="shared" si="3"/>
        <v>181556.2304</v>
      </c>
      <c r="AX26" s="3">
        <v>204859025.91000003</v>
      </c>
      <c r="AY26" s="3">
        <f>AX26/1000</f>
        <v>204859.02591000003</v>
      </c>
      <c r="AZ26" s="3">
        <v>231877008.2</v>
      </c>
      <c r="BA26" s="3">
        <f>AZ26/1000</f>
        <v>231877.00819999998</v>
      </c>
      <c r="BB26" s="3">
        <v>238176658.34</v>
      </c>
      <c r="BC26" s="3">
        <f>BB26/1000</f>
        <v>238176.65834</v>
      </c>
      <c r="BD26" s="3">
        <v>235764938.26</v>
      </c>
      <c r="BE26" s="3">
        <f>BD26/1000</f>
        <v>235764.93826</v>
      </c>
    </row>
    <row r="27" spans="1:57" ht="12.75">
      <c r="A27" s="1" t="s">
        <v>19</v>
      </c>
      <c r="B27" s="1">
        <v>121768</v>
      </c>
      <c r="C27" s="1">
        <v>111546</v>
      </c>
      <c r="D27" s="1">
        <v>125204</v>
      </c>
      <c r="E27" s="1">
        <v>142080</v>
      </c>
      <c r="F27" s="1">
        <v>150467</v>
      </c>
      <c r="G27" s="1">
        <v>166144.1543</v>
      </c>
      <c r="H27" s="1">
        <v>186582.03276000003</v>
      </c>
      <c r="I27" s="1">
        <v>221073.57174</v>
      </c>
      <c r="J27" s="1">
        <v>237877.05788000004</v>
      </c>
      <c r="K27" s="1">
        <v>241708.01340000003</v>
      </c>
      <c r="L27" s="244">
        <f>(K27-J27)*100/J27</f>
        <v>1.6104770902003338</v>
      </c>
      <c r="M27" s="244">
        <f>(K27-AC27)*100/AC27</f>
        <v>140.00160200971098</v>
      </c>
      <c r="N27" s="14">
        <v>32249</v>
      </c>
      <c r="O27" s="14">
        <v>35994</v>
      </c>
      <c r="P27" s="14">
        <v>40417</v>
      </c>
      <c r="Q27" s="14">
        <v>43139</v>
      </c>
      <c r="R27" s="14">
        <v>47225</v>
      </c>
      <c r="S27" s="14">
        <v>52219</v>
      </c>
      <c r="T27" s="14">
        <v>57536</v>
      </c>
      <c r="U27" s="14">
        <v>62453</v>
      </c>
      <c r="V27" s="14">
        <v>68993</v>
      </c>
      <c r="W27" s="14">
        <v>67556</v>
      </c>
      <c r="X27" s="14">
        <v>72006</v>
      </c>
      <c r="Y27" s="14">
        <v>78144</v>
      </c>
      <c r="Z27" s="14">
        <v>82661</v>
      </c>
      <c r="AA27" s="14">
        <v>90306</v>
      </c>
      <c r="AB27" s="14">
        <v>96158</v>
      </c>
      <c r="AC27" s="14">
        <v>100711</v>
      </c>
      <c r="AD27" s="14"/>
      <c r="AE27" s="14"/>
      <c r="AF27" s="3">
        <v>121768303</v>
      </c>
      <c r="AG27" s="3">
        <f>AF27/1000</f>
        <v>121768.303</v>
      </c>
      <c r="AI27" s="3">
        <v>111545750</v>
      </c>
      <c r="AJ27" s="3">
        <f>AI27/1000</f>
        <v>111545.75</v>
      </c>
      <c r="AL27" s="3">
        <v>125204309</v>
      </c>
      <c r="AM27" s="3">
        <f>AL27/1000</f>
        <v>125204.309</v>
      </c>
      <c r="AO27" s="3">
        <v>142079834</v>
      </c>
      <c r="AP27" s="3">
        <f>AO27/1000</f>
        <v>142079.834</v>
      </c>
      <c r="AR27" s="3">
        <v>150467339</v>
      </c>
      <c r="AS27" s="3">
        <f t="shared" si="2"/>
        <v>150467.339</v>
      </c>
      <c r="AU27" s="3">
        <v>166144154.29999998</v>
      </c>
      <c r="AV27" s="3">
        <f t="shared" si="3"/>
        <v>166144.1543</v>
      </c>
      <c r="AX27" s="3">
        <v>186582032.76000002</v>
      </c>
      <c r="AY27" s="3">
        <f>AX27/1000</f>
        <v>186582.03276000003</v>
      </c>
      <c r="AZ27" s="3">
        <v>221073571.74</v>
      </c>
      <c r="BA27" s="3">
        <f>AZ27/1000</f>
        <v>221073.57174</v>
      </c>
      <c r="BB27" s="3">
        <v>237877057.88000003</v>
      </c>
      <c r="BC27" s="3">
        <f>BB27/1000</f>
        <v>237877.05788000004</v>
      </c>
      <c r="BD27" s="3">
        <v>241708013.40000004</v>
      </c>
      <c r="BE27" s="3">
        <f>BD27/1000</f>
        <v>241708.01340000003</v>
      </c>
    </row>
    <row r="28" spans="1:57" ht="12.75">
      <c r="A28" s="1" t="s">
        <v>20</v>
      </c>
      <c r="B28" s="1">
        <v>8883</v>
      </c>
      <c r="C28" s="1">
        <v>9256</v>
      </c>
      <c r="D28" s="1">
        <v>10170</v>
      </c>
      <c r="E28" s="1">
        <v>9134</v>
      </c>
      <c r="F28" s="1">
        <v>9843</v>
      </c>
      <c r="G28" s="1">
        <v>9566.20678</v>
      </c>
      <c r="H28" s="1">
        <v>10829.417089999999</v>
      </c>
      <c r="I28" s="1">
        <v>11878.54184</v>
      </c>
      <c r="J28" s="1">
        <v>12172.88637</v>
      </c>
      <c r="K28" s="1">
        <v>12347.55768</v>
      </c>
      <c r="L28" s="244">
        <f>(K28-J28)*100/J28</f>
        <v>1.4349210589074095</v>
      </c>
      <c r="M28" s="244">
        <f>(K28-AC28)*100/AC28</f>
        <v>46.837408490902604</v>
      </c>
      <c r="N28" s="14">
        <v>3900</v>
      </c>
      <c r="O28" s="14">
        <v>4277</v>
      </c>
      <c r="P28" s="14">
        <v>4685</v>
      </c>
      <c r="Q28" s="14">
        <v>4914</v>
      </c>
      <c r="R28" s="14">
        <v>5358</v>
      </c>
      <c r="S28" s="14">
        <v>6004</v>
      </c>
      <c r="T28" s="14">
        <v>6426</v>
      </c>
      <c r="U28" s="14">
        <v>6863</v>
      </c>
      <c r="V28" s="14">
        <v>6865</v>
      </c>
      <c r="W28" s="14">
        <v>6697</v>
      </c>
      <c r="X28" s="14">
        <v>6873</v>
      </c>
      <c r="Y28" s="14">
        <v>7153</v>
      </c>
      <c r="Z28" s="14">
        <v>7636</v>
      </c>
      <c r="AA28" s="14">
        <v>7944</v>
      </c>
      <c r="AB28" s="14">
        <v>8340</v>
      </c>
      <c r="AC28" s="14">
        <v>8409</v>
      </c>
      <c r="AD28" s="14"/>
      <c r="AE28" s="14"/>
      <c r="AF28" s="3">
        <v>8883165</v>
      </c>
      <c r="AG28" s="3">
        <f>AF28/1000</f>
        <v>8883.165</v>
      </c>
      <c r="AI28" s="3">
        <v>9255963</v>
      </c>
      <c r="AJ28" s="3">
        <f>AI28/1000</f>
        <v>9255.963</v>
      </c>
      <c r="AL28" s="3">
        <v>10169990</v>
      </c>
      <c r="AM28" s="3">
        <f>AL28/1000</f>
        <v>10169.99</v>
      </c>
      <c r="AO28" s="3">
        <v>9133669</v>
      </c>
      <c r="AP28" s="3">
        <f>AO28/1000</f>
        <v>9133.669</v>
      </c>
      <c r="AR28" s="3">
        <v>9842566</v>
      </c>
      <c r="AS28" s="3">
        <f t="shared" si="2"/>
        <v>9842.566</v>
      </c>
      <c r="AU28" s="3">
        <v>9566206.780000001</v>
      </c>
      <c r="AV28" s="3">
        <f t="shared" si="3"/>
        <v>9566.20678</v>
      </c>
      <c r="AX28" s="3">
        <v>10829417.09</v>
      </c>
      <c r="AY28" s="3">
        <f>AX28/1000</f>
        <v>10829.417089999999</v>
      </c>
      <c r="AZ28" s="3">
        <v>11878541.84</v>
      </c>
      <c r="BA28" s="3">
        <f>AZ28/1000</f>
        <v>11878.54184</v>
      </c>
      <c r="BB28" s="3">
        <v>12172886.370000001</v>
      </c>
      <c r="BC28" s="3">
        <f>BB28/1000</f>
        <v>12172.88637</v>
      </c>
      <c r="BD28" s="3">
        <v>12347557.68</v>
      </c>
      <c r="BE28" s="3">
        <f>BD28/1000</f>
        <v>12347.55768</v>
      </c>
    </row>
    <row r="29" spans="12:33" ht="12.75">
      <c r="L29" s="244"/>
      <c r="M29" s="24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3"/>
      <c r="AG29" s="3"/>
    </row>
    <row r="30" spans="1:57" ht="12.75">
      <c r="A30" s="1" t="s">
        <v>21</v>
      </c>
      <c r="B30" s="1">
        <v>287212</v>
      </c>
      <c r="C30" s="1">
        <v>276311</v>
      </c>
      <c r="D30" s="1">
        <v>306164</v>
      </c>
      <c r="E30" s="1">
        <v>334011</v>
      </c>
      <c r="F30" s="1">
        <v>358041</v>
      </c>
      <c r="G30" s="1">
        <v>389040.90006</v>
      </c>
      <c r="H30" s="1">
        <v>432359.90936</v>
      </c>
      <c r="I30" s="1">
        <v>511954.65267000004</v>
      </c>
      <c r="J30" s="1">
        <v>554411.33273</v>
      </c>
      <c r="K30" s="1">
        <v>585326.9550300001</v>
      </c>
      <c r="L30" s="244">
        <f>(K30-J30)*100/J30</f>
        <v>5.576296961277313</v>
      </c>
      <c r="M30" s="244">
        <f>(K30-AC30)*100/AC30</f>
        <v>147.37525306087952</v>
      </c>
      <c r="N30" s="14">
        <v>106078</v>
      </c>
      <c r="O30" s="14">
        <v>111778</v>
      </c>
      <c r="P30" s="14">
        <v>121704</v>
      </c>
      <c r="Q30" s="14">
        <v>134991</v>
      </c>
      <c r="R30" s="14">
        <v>143068</v>
      </c>
      <c r="S30" s="14">
        <v>154034</v>
      </c>
      <c r="T30" s="14">
        <v>163196</v>
      </c>
      <c r="U30" s="14">
        <v>164861</v>
      </c>
      <c r="V30" s="14">
        <v>169804</v>
      </c>
      <c r="W30" s="14">
        <v>155297</v>
      </c>
      <c r="X30" s="14">
        <v>169070</v>
      </c>
      <c r="Y30" s="14">
        <v>190213</v>
      </c>
      <c r="Z30" s="14">
        <v>206687</v>
      </c>
      <c r="AA30" s="14">
        <v>217180</v>
      </c>
      <c r="AB30" s="14">
        <v>227857</v>
      </c>
      <c r="AC30" s="14">
        <v>236615</v>
      </c>
      <c r="AD30" s="14"/>
      <c r="AE30" s="14"/>
      <c r="AF30" s="3">
        <v>287212067</v>
      </c>
      <c r="AG30" s="3">
        <f>AF30/1000</f>
        <v>287212.067</v>
      </c>
      <c r="AI30" s="3">
        <v>276310578</v>
      </c>
      <c r="AJ30" s="3">
        <f>AI30/1000</f>
        <v>276310.578</v>
      </c>
      <c r="AL30" s="3">
        <v>306163972</v>
      </c>
      <c r="AM30" s="3">
        <f>AL30/1000</f>
        <v>306163.972</v>
      </c>
      <c r="AO30" s="3">
        <v>334011181</v>
      </c>
      <c r="AP30" s="3">
        <f>AO30/1000</f>
        <v>334011.181</v>
      </c>
      <c r="AR30" s="3">
        <v>358041179</v>
      </c>
      <c r="AS30" s="3">
        <f t="shared" si="2"/>
        <v>358041.179</v>
      </c>
      <c r="AU30" s="3">
        <v>389040900.06</v>
      </c>
      <c r="AV30" s="3">
        <f t="shared" si="3"/>
        <v>389040.90006</v>
      </c>
      <c r="AX30" s="3">
        <v>432359909.36</v>
      </c>
      <c r="AY30" s="3">
        <f>AX30/1000</f>
        <v>432359.90936</v>
      </c>
      <c r="AZ30" s="3">
        <v>511954652.67</v>
      </c>
      <c r="BA30" s="3">
        <f>AZ30/1000</f>
        <v>511954.65267000004</v>
      </c>
      <c r="BB30" s="3">
        <v>554411332.73</v>
      </c>
      <c r="BC30" s="3">
        <f>BB30/1000</f>
        <v>554411.33273</v>
      </c>
      <c r="BD30" s="3">
        <v>585326955.0300001</v>
      </c>
      <c r="BE30" s="3">
        <f>BD30/1000</f>
        <v>585326.9550300001</v>
      </c>
    </row>
    <row r="31" spans="1:57" ht="12.75">
      <c r="A31" s="1" t="s">
        <v>22</v>
      </c>
      <c r="B31" s="1">
        <v>523175</v>
      </c>
      <c r="C31" s="1">
        <v>520663</v>
      </c>
      <c r="D31" s="1">
        <v>573611</v>
      </c>
      <c r="E31" s="1">
        <v>610365</v>
      </c>
      <c r="F31" s="1">
        <v>690034</v>
      </c>
      <c r="G31" s="1">
        <v>771379.53854</v>
      </c>
      <c r="H31" s="1">
        <v>840660.3754099999</v>
      </c>
      <c r="I31" s="1">
        <v>985383.65887</v>
      </c>
      <c r="J31" s="1">
        <v>1010764.94404</v>
      </c>
      <c r="K31" s="1">
        <v>967523.93102</v>
      </c>
      <c r="L31" s="244">
        <f>(K31-J31)*100/J31</f>
        <v>-4.27804835090212</v>
      </c>
      <c r="M31" s="244">
        <f>(K31-AC31)*100/AC31</f>
        <v>109.94562836094565</v>
      </c>
      <c r="N31" s="14">
        <v>160909</v>
      </c>
      <c r="O31" s="14">
        <v>173748</v>
      </c>
      <c r="P31" s="14">
        <v>192746</v>
      </c>
      <c r="Q31" s="14">
        <v>213478</v>
      </c>
      <c r="R31" s="14">
        <v>233869</v>
      </c>
      <c r="S31" s="14">
        <v>251203</v>
      </c>
      <c r="T31" s="14">
        <v>273200</v>
      </c>
      <c r="U31" s="14">
        <v>283218</v>
      </c>
      <c r="V31" s="14">
        <v>309751</v>
      </c>
      <c r="W31" s="14">
        <v>310304</v>
      </c>
      <c r="X31" s="14">
        <v>328711</v>
      </c>
      <c r="Y31" s="14">
        <v>345952</v>
      </c>
      <c r="Z31" s="14">
        <v>367773</v>
      </c>
      <c r="AA31" s="14">
        <v>402521</v>
      </c>
      <c r="AB31" s="14">
        <v>434843</v>
      </c>
      <c r="AC31" s="14">
        <v>460845</v>
      </c>
      <c r="AD31" s="14"/>
      <c r="AE31" s="14"/>
      <c r="AF31" s="3">
        <v>523174922</v>
      </c>
      <c r="AG31" s="3">
        <f>AF31/1000</f>
        <v>523174.922</v>
      </c>
      <c r="AI31" s="3">
        <v>520663329</v>
      </c>
      <c r="AJ31" s="3">
        <f>AI31/1000</f>
        <v>520663.329</v>
      </c>
      <c r="AL31" s="3">
        <v>573611392</v>
      </c>
      <c r="AM31" s="3">
        <f>AL31/1000</f>
        <v>573611.392</v>
      </c>
      <c r="AO31" s="3">
        <v>610365098</v>
      </c>
      <c r="AP31" s="3">
        <f>AO31/1000</f>
        <v>610365.098</v>
      </c>
      <c r="AR31" s="3">
        <v>690033806</v>
      </c>
      <c r="AS31" s="3">
        <f t="shared" si="2"/>
        <v>690033.806</v>
      </c>
      <c r="AU31" s="3">
        <v>771379538.54</v>
      </c>
      <c r="AV31" s="3">
        <f t="shared" si="3"/>
        <v>771379.53854</v>
      </c>
      <c r="AX31" s="3">
        <v>840660375.4099998</v>
      </c>
      <c r="AY31" s="3">
        <f>AX31/1000</f>
        <v>840660.3754099999</v>
      </c>
      <c r="AZ31" s="3">
        <v>985383658.87</v>
      </c>
      <c r="BA31" s="3">
        <f>AZ31/1000</f>
        <v>985383.65887</v>
      </c>
      <c r="BB31" s="3">
        <v>1010764944.04</v>
      </c>
      <c r="BC31" s="3">
        <f>BB31/1000</f>
        <v>1010764.94404</v>
      </c>
      <c r="BD31" s="3">
        <v>967523931.02</v>
      </c>
      <c r="BE31" s="3">
        <f>BD31/1000</f>
        <v>967523.93102</v>
      </c>
    </row>
    <row r="32" spans="1:57" ht="12.75">
      <c r="A32" s="1" t="s">
        <v>23</v>
      </c>
      <c r="B32" s="1">
        <v>25604</v>
      </c>
      <c r="C32" s="1">
        <v>21184</v>
      </c>
      <c r="D32" s="1">
        <v>22228</v>
      </c>
      <c r="E32" s="1">
        <v>23883</v>
      </c>
      <c r="F32" s="1">
        <v>24992</v>
      </c>
      <c r="G32" s="1">
        <v>27123.75374</v>
      </c>
      <c r="H32" s="1">
        <v>30200.49566</v>
      </c>
      <c r="I32" s="1">
        <v>34513.27922</v>
      </c>
      <c r="J32" s="1">
        <v>35863.68476</v>
      </c>
      <c r="K32" s="1">
        <v>35815.668490000004</v>
      </c>
      <c r="L32" s="244">
        <f>(K32-J32)*100/J32</f>
        <v>-0.1338854897964835</v>
      </c>
      <c r="M32" s="244">
        <f>(K32-AC32)*100/AC32</f>
        <v>97.17941251926891</v>
      </c>
      <c r="N32" s="14">
        <v>6809</v>
      </c>
      <c r="O32" s="14">
        <v>7700</v>
      </c>
      <c r="P32" s="14">
        <v>8646</v>
      </c>
      <c r="Q32" s="14">
        <v>9347</v>
      </c>
      <c r="R32" s="14">
        <v>10098</v>
      </c>
      <c r="S32" s="14">
        <v>11287</v>
      </c>
      <c r="T32" s="14">
        <v>12127</v>
      </c>
      <c r="U32" s="14">
        <v>13118</v>
      </c>
      <c r="V32" s="14">
        <v>13687</v>
      </c>
      <c r="W32" s="14">
        <v>13867</v>
      </c>
      <c r="X32" s="14">
        <v>14152</v>
      </c>
      <c r="Y32" s="14">
        <v>14772</v>
      </c>
      <c r="Z32" s="14">
        <v>15677</v>
      </c>
      <c r="AA32" s="14">
        <v>16279</v>
      </c>
      <c r="AB32" s="14">
        <v>17282</v>
      </c>
      <c r="AC32" s="14">
        <v>18164</v>
      </c>
      <c r="AD32" s="14"/>
      <c r="AE32" s="14"/>
      <c r="AF32" s="3">
        <v>25604324</v>
      </c>
      <c r="AG32" s="3">
        <f>AF32/1000</f>
        <v>25604.324</v>
      </c>
      <c r="AI32" s="3">
        <v>21183644</v>
      </c>
      <c r="AJ32" s="3">
        <f>AI32/1000</f>
        <v>21183.644</v>
      </c>
      <c r="AL32" s="3">
        <v>22228246</v>
      </c>
      <c r="AM32" s="3">
        <f>AL32/1000</f>
        <v>22228.246</v>
      </c>
      <c r="AO32" s="3">
        <v>23882763</v>
      </c>
      <c r="AP32" s="3">
        <f>AO32/1000</f>
        <v>23882.763</v>
      </c>
      <c r="AR32" s="3">
        <v>24992229</v>
      </c>
      <c r="AS32" s="3">
        <f t="shared" si="2"/>
        <v>24992.229</v>
      </c>
      <c r="AU32" s="3">
        <v>27123753.74</v>
      </c>
      <c r="AV32" s="3">
        <f t="shared" si="3"/>
        <v>27123.75374</v>
      </c>
      <c r="AX32" s="3">
        <v>30200495.66</v>
      </c>
      <c r="AY32" s="3">
        <f>AX32/1000</f>
        <v>30200.49566</v>
      </c>
      <c r="AZ32" s="3">
        <v>34513279.22</v>
      </c>
      <c r="BA32" s="3">
        <f>AZ32/1000</f>
        <v>34513.27922</v>
      </c>
      <c r="BB32" s="3">
        <v>35863684.76</v>
      </c>
      <c r="BC32" s="3">
        <f>BB32/1000</f>
        <v>35863.68476</v>
      </c>
      <c r="BD32" s="3">
        <v>35815668.49</v>
      </c>
      <c r="BE32" s="3">
        <f>BD32/1000</f>
        <v>35815.668490000004</v>
      </c>
    </row>
    <row r="33" spans="1:57" ht="12.75">
      <c r="A33" s="1" t="s">
        <v>24</v>
      </c>
      <c r="B33" s="1">
        <v>57422</v>
      </c>
      <c r="C33" s="1">
        <v>52904</v>
      </c>
      <c r="D33" s="1">
        <v>57054</v>
      </c>
      <c r="E33" s="1">
        <v>63166</v>
      </c>
      <c r="F33" s="1">
        <v>68420</v>
      </c>
      <c r="G33" s="1">
        <v>77832.92289999999</v>
      </c>
      <c r="H33" s="1">
        <v>86558.43232</v>
      </c>
      <c r="I33" s="1">
        <v>99177.35646999998</v>
      </c>
      <c r="J33" s="1">
        <v>105657.90587999999</v>
      </c>
      <c r="K33" s="1">
        <v>102410.78417</v>
      </c>
      <c r="L33" s="244">
        <f>(K33-J33)*100/J33</f>
        <v>-3.0732406467414575</v>
      </c>
      <c r="M33" s="244">
        <f>(K33-AC33)*100/AC33</f>
        <v>116.92604145308196</v>
      </c>
      <c r="N33" s="14">
        <v>18352</v>
      </c>
      <c r="O33" s="14">
        <v>20358</v>
      </c>
      <c r="P33" s="14">
        <v>22393</v>
      </c>
      <c r="Q33" s="14">
        <v>24933</v>
      </c>
      <c r="R33" s="14">
        <v>27136</v>
      </c>
      <c r="S33" s="14">
        <v>29880</v>
      </c>
      <c r="T33" s="14">
        <v>31939</v>
      </c>
      <c r="U33" s="14">
        <v>34825</v>
      </c>
      <c r="V33" s="14">
        <v>37949</v>
      </c>
      <c r="W33" s="14">
        <v>36993</v>
      </c>
      <c r="X33" s="14">
        <v>37561</v>
      </c>
      <c r="Y33" s="14">
        <v>39196</v>
      </c>
      <c r="Z33" s="14">
        <v>42280</v>
      </c>
      <c r="AA33" s="14">
        <v>45224</v>
      </c>
      <c r="AB33" s="14">
        <v>47085</v>
      </c>
      <c r="AC33" s="14">
        <v>47210</v>
      </c>
      <c r="AD33" s="14"/>
      <c r="AE33" s="14"/>
      <c r="AF33" s="3">
        <v>57421580</v>
      </c>
      <c r="AG33" s="3">
        <f>AF33/1000</f>
        <v>57421.58</v>
      </c>
      <c r="AI33" s="3">
        <v>52904076</v>
      </c>
      <c r="AJ33" s="3">
        <f>AI33/1000</f>
        <v>52904.076</v>
      </c>
      <c r="AL33" s="3">
        <v>57054027</v>
      </c>
      <c r="AM33" s="3">
        <f>AL33/1000</f>
        <v>57054.027</v>
      </c>
      <c r="AO33" s="3">
        <v>63165892</v>
      </c>
      <c r="AP33" s="3">
        <f>AO33/1000</f>
        <v>63165.892</v>
      </c>
      <c r="AR33" s="3">
        <v>68420392</v>
      </c>
      <c r="AS33" s="3">
        <f t="shared" si="2"/>
        <v>68420.392</v>
      </c>
      <c r="AU33" s="3">
        <v>77832922.89999999</v>
      </c>
      <c r="AV33" s="3">
        <f t="shared" si="3"/>
        <v>77832.92289999999</v>
      </c>
      <c r="AX33" s="3">
        <v>86558432.32000001</v>
      </c>
      <c r="AY33" s="3">
        <f>AX33/1000</f>
        <v>86558.43232</v>
      </c>
      <c r="AZ33" s="3">
        <v>99177356.46999998</v>
      </c>
      <c r="BA33" s="3">
        <f>AZ33/1000</f>
        <v>99177.35646999998</v>
      </c>
      <c r="BB33" s="3">
        <v>105657905.88</v>
      </c>
      <c r="BC33" s="3">
        <f>BB33/1000</f>
        <v>105657.90587999999</v>
      </c>
      <c r="BD33" s="3">
        <v>102410784.17</v>
      </c>
      <c r="BE33" s="3">
        <f>BD33/1000</f>
        <v>102410.78417</v>
      </c>
    </row>
    <row r="34" spans="1:57" ht="12.75">
      <c r="A34" s="1" t="s">
        <v>25</v>
      </c>
      <c r="B34" s="1">
        <v>13377</v>
      </c>
      <c r="C34" s="1">
        <v>14002</v>
      </c>
      <c r="D34" s="1">
        <v>15734</v>
      </c>
      <c r="E34" s="1">
        <v>16195</v>
      </c>
      <c r="F34" s="1">
        <v>17572</v>
      </c>
      <c r="G34" s="1">
        <v>20201.379659999995</v>
      </c>
      <c r="H34" s="1">
        <v>22881.57681</v>
      </c>
      <c r="I34" s="1">
        <v>25696.557270000005</v>
      </c>
      <c r="J34" s="1">
        <v>25985.273900000004</v>
      </c>
      <c r="K34" s="1">
        <v>25920.535509999998</v>
      </c>
      <c r="L34" s="244">
        <f>(K34-J34)*100/J34</f>
        <v>-0.24913491483345837</v>
      </c>
      <c r="M34" s="244">
        <f>(K34-AC34)*100/AC34</f>
        <v>94.84729391866495</v>
      </c>
      <c r="N34" s="14">
        <v>5978</v>
      </c>
      <c r="O34" s="14">
        <v>6556</v>
      </c>
      <c r="P34" s="14">
        <v>7265</v>
      </c>
      <c r="Q34" s="14">
        <v>8097</v>
      </c>
      <c r="R34" s="14">
        <v>8757</v>
      </c>
      <c r="S34" s="14">
        <v>9339</v>
      </c>
      <c r="T34" s="14">
        <v>10248</v>
      </c>
      <c r="U34" s="14">
        <v>10787</v>
      </c>
      <c r="V34" s="14">
        <v>11471</v>
      </c>
      <c r="W34" s="14">
        <v>11719</v>
      </c>
      <c r="X34" s="14">
        <v>11795</v>
      </c>
      <c r="Y34" s="14">
        <v>12210</v>
      </c>
      <c r="Z34" s="14">
        <v>12430</v>
      </c>
      <c r="AA34" s="14">
        <v>12538</v>
      </c>
      <c r="AB34" s="14">
        <v>13075</v>
      </c>
      <c r="AC34" s="14">
        <v>13303</v>
      </c>
      <c r="AD34" s="14"/>
      <c r="AE34" s="14"/>
      <c r="AF34" s="3">
        <v>13376710</v>
      </c>
      <c r="AG34" s="3">
        <f>AF34/1000</f>
        <v>13376.71</v>
      </c>
      <c r="AI34" s="3">
        <v>14001870</v>
      </c>
      <c r="AJ34" s="3">
        <f>AI34/1000</f>
        <v>14001.87</v>
      </c>
      <c r="AL34" s="3">
        <v>15734489</v>
      </c>
      <c r="AM34" s="3">
        <f>AL34/1000</f>
        <v>15734.489</v>
      </c>
      <c r="AO34" s="3">
        <v>16195402</v>
      </c>
      <c r="AP34" s="3">
        <f>AO34/1000</f>
        <v>16195.402</v>
      </c>
      <c r="AR34" s="3">
        <v>17572489</v>
      </c>
      <c r="AS34" s="3">
        <f t="shared" si="2"/>
        <v>17572.489</v>
      </c>
      <c r="AU34" s="3">
        <v>20201379.659999996</v>
      </c>
      <c r="AV34" s="3">
        <f t="shared" si="3"/>
        <v>20201.379659999995</v>
      </c>
      <c r="AX34" s="3">
        <v>22881576.81</v>
      </c>
      <c r="AY34" s="3">
        <f>AX34/1000</f>
        <v>22881.57681</v>
      </c>
      <c r="AZ34" s="3">
        <v>25696557.270000003</v>
      </c>
      <c r="BA34" s="3">
        <f>AZ34/1000</f>
        <v>25696.557270000005</v>
      </c>
      <c r="BB34" s="3">
        <v>25985273.900000002</v>
      </c>
      <c r="BC34" s="3">
        <f>BB34/1000</f>
        <v>25985.273900000004</v>
      </c>
      <c r="BD34" s="3">
        <v>25920535.509999998</v>
      </c>
      <c r="BE34" s="3">
        <f>BD34/1000</f>
        <v>25920.535509999998</v>
      </c>
    </row>
    <row r="35" spans="12:33" ht="12.75">
      <c r="L35" s="244"/>
      <c r="M35" s="24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3"/>
      <c r="AG35" s="3"/>
    </row>
    <row r="36" spans="1:57" ht="12.75">
      <c r="A36" s="1" t="s">
        <v>26</v>
      </c>
      <c r="B36" s="1">
        <v>10854</v>
      </c>
      <c r="C36" s="1">
        <v>7120</v>
      </c>
      <c r="D36" s="1">
        <v>7067</v>
      </c>
      <c r="E36" s="1">
        <v>10470</v>
      </c>
      <c r="F36" s="1">
        <v>11131</v>
      </c>
      <c r="G36" s="1">
        <v>11926.590540000001</v>
      </c>
      <c r="H36" s="1">
        <v>12481.41033</v>
      </c>
      <c r="I36" s="1">
        <v>12915.48142</v>
      </c>
      <c r="J36" s="1">
        <v>13259.184620000002</v>
      </c>
      <c r="K36" s="1">
        <v>13813.664749999998</v>
      </c>
      <c r="L36" s="244">
        <f>(K36-J36)*100/J36</f>
        <v>4.181856923265287</v>
      </c>
      <c r="M36" s="244">
        <f>(K36-AC36)*100/AC36</f>
        <v>99.50411250722124</v>
      </c>
      <c r="N36" s="14">
        <v>3657</v>
      </c>
      <c r="O36" s="14">
        <v>4077</v>
      </c>
      <c r="P36" s="14">
        <v>4596</v>
      </c>
      <c r="Q36" s="14">
        <v>4592</v>
      </c>
      <c r="R36" s="14">
        <v>4621</v>
      </c>
      <c r="S36" s="14">
        <v>5336</v>
      </c>
      <c r="T36" s="14">
        <v>5591</v>
      </c>
      <c r="U36" s="14">
        <v>6398</v>
      </c>
      <c r="V36" s="14">
        <v>6494</v>
      </c>
      <c r="W36" s="14">
        <v>5968</v>
      </c>
      <c r="X36" s="14">
        <v>6109</v>
      </c>
      <c r="Y36" s="14">
        <v>6391</v>
      </c>
      <c r="Z36" s="14">
        <v>6685</v>
      </c>
      <c r="AA36" s="14">
        <v>6505</v>
      </c>
      <c r="AB36" s="14">
        <v>7153</v>
      </c>
      <c r="AC36" s="14">
        <v>6924</v>
      </c>
      <c r="AD36" s="14"/>
      <c r="AE36" s="14"/>
      <c r="AF36" s="3">
        <v>10854388</v>
      </c>
      <c r="AG36" s="3">
        <f>AF36/1000</f>
        <v>10854.388</v>
      </c>
      <c r="AI36" s="3">
        <v>7120388</v>
      </c>
      <c r="AJ36" s="3">
        <f>AI36/1000</f>
        <v>7120.388</v>
      </c>
      <c r="AL36" s="3">
        <v>7067132</v>
      </c>
      <c r="AM36" s="3">
        <f>AL36/1000</f>
        <v>7067.132</v>
      </c>
      <c r="AO36" s="3">
        <v>10469816</v>
      </c>
      <c r="AP36" s="3">
        <f>AO36/1000</f>
        <v>10469.816</v>
      </c>
      <c r="AR36" s="3">
        <v>11131252</v>
      </c>
      <c r="AS36" s="3">
        <f t="shared" si="2"/>
        <v>11131.252</v>
      </c>
      <c r="AU36" s="3">
        <v>11926590.540000001</v>
      </c>
      <c r="AV36" s="3">
        <f t="shared" si="3"/>
        <v>11926.590540000001</v>
      </c>
      <c r="AX36" s="3">
        <v>12481410.33</v>
      </c>
      <c r="AY36" s="3">
        <f>AX36/1000</f>
        <v>12481.41033</v>
      </c>
      <c r="AZ36" s="3">
        <v>12915481.42</v>
      </c>
      <c r="BA36" s="3">
        <f>AZ36/1000</f>
        <v>12915.48142</v>
      </c>
      <c r="BB36" s="3">
        <v>13259184.620000001</v>
      </c>
      <c r="BC36" s="3">
        <f>BB36/1000</f>
        <v>13259.184620000002</v>
      </c>
      <c r="BD36" s="3">
        <v>13813664.749999998</v>
      </c>
      <c r="BE36" s="3">
        <f>BD36/1000</f>
        <v>13813.664749999998</v>
      </c>
    </row>
    <row r="37" spans="1:57" ht="12.75">
      <c r="A37" s="1" t="s">
        <v>27</v>
      </c>
      <c r="B37" s="1">
        <v>70841</v>
      </c>
      <c r="C37" s="1">
        <v>70268</v>
      </c>
      <c r="D37" s="1">
        <v>73729</v>
      </c>
      <c r="E37" s="1">
        <v>81694</v>
      </c>
      <c r="F37" s="1">
        <v>88877</v>
      </c>
      <c r="G37" s="1">
        <v>103764.68175999999</v>
      </c>
      <c r="H37" s="1">
        <v>120833.16367000001</v>
      </c>
      <c r="I37" s="1">
        <v>147334.06574000002</v>
      </c>
      <c r="J37" s="1">
        <v>155061.28719</v>
      </c>
      <c r="K37" s="1">
        <v>154269.45288</v>
      </c>
      <c r="L37" s="244">
        <f>(K37-J37)*100/J37</f>
        <v>-0.5106589299944052</v>
      </c>
      <c r="M37" s="244">
        <f>(K37-AC37)*100/AC37</f>
        <v>135.6266081378299</v>
      </c>
      <c r="N37" s="14">
        <v>26959</v>
      </c>
      <c r="O37" s="14">
        <v>29812</v>
      </c>
      <c r="P37" s="14">
        <v>32828</v>
      </c>
      <c r="Q37" s="14">
        <v>35666</v>
      </c>
      <c r="R37" s="14">
        <v>39091</v>
      </c>
      <c r="S37" s="14">
        <v>42020</v>
      </c>
      <c r="T37" s="14">
        <v>45238</v>
      </c>
      <c r="U37" s="14">
        <v>47890</v>
      </c>
      <c r="V37" s="14">
        <v>51355</v>
      </c>
      <c r="W37" s="14">
        <v>53148</v>
      </c>
      <c r="X37" s="14">
        <v>55951</v>
      </c>
      <c r="Y37" s="14">
        <v>57976</v>
      </c>
      <c r="Z37" s="14">
        <v>60158</v>
      </c>
      <c r="AA37" s="14">
        <v>62728</v>
      </c>
      <c r="AB37" s="14">
        <v>64290</v>
      </c>
      <c r="AC37" s="14">
        <v>65472</v>
      </c>
      <c r="AD37" s="14"/>
      <c r="AE37" s="14"/>
      <c r="AF37" s="3">
        <v>70841448</v>
      </c>
      <c r="AG37" s="3">
        <f>AF37/1000</f>
        <v>70841.448</v>
      </c>
      <c r="AI37" s="3">
        <v>70267894</v>
      </c>
      <c r="AJ37" s="3">
        <f>AI37/1000</f>
        <v>70267.894</v>
      </c>
      <c r="AL37" s="3">
        <v>73728916</v>
      </c>
      <c r="AM37" s="3">
        <f>AL37/1000</f>
        <v>73728.916</v>
      </c>
      <c r="AO37" s="3">
        <v>81693592</v>
      </c>
      <c r="AP37" s="3">
        <f>AO37/1000</f>
        <v>81693.592</v>
      </c>
      <c r="AR37" s="3">
        <v>88877450</v>
      </c>
      <c r="AS37" s="3">
        <f t="shared" si="2"/>
        <v>88877.45</v>
      </c>
      <c r="AU37" s="3">
        <v>103764681.75999999</v>
      </c>
      <c r="AV37" s="3">
        <f t="shared" si="3"/>
        <v>103764.68175999999</v>
      </c>
      <c r="AX37" s="3">
        <v>120833163.67</v>
      </c>
      <c r="AY37" s="3">
        <f>AX37/1000</f>
        <v>120833.16367000001</v>
      </c>
      <c r="AZ37" s="3">
        <v>147334065.74</v>
      </c>
      <c r="BA37" s="3">
        <f>AZ37/1000</f>
        <v>147334.06574000002</v>
      </c>
      <c r="BB37" s="3">
        <v>155061287.19</v>
      </c>
      <c r="BC37" s="3">
        <f>BB37/1000</f>
        <v>155061.28719</v>
      </c>
      <c r="BD37" s="3">
        <v>154269452.88</v>
      </c>
      <c r="BE37" s="3">
        <f>BD37/1000</f>
        <v>154269.45288</v>
      </c>
    </row>
    <row r="38" spans="1:57" ht="12.75">
      <c r="A38" s="1" t="s">
        <v>28</v>
      </c>
      <c r="B38" s="1">
        <v>55110</v>
      </c>
      <c r="C38" s="1">
        <v>54566</v>
      </c>
      <c r="D38" s="1">
        <v>58665</v>
      </c>
      <c r="E38" s="1">
        <v>65433</v>
      </c>
      <c r="F38" s="1">
        <v>73175</v>
      </c>
      <c r="G38" s="1">
        <v>83177.96011999999</v>
      </c>
      <c r="H38" s="1">
        <v>97814.71704</v>
      </c>
      <c r="I38" s="1">
        <v>113685.91513000001</v>
      </c>
      <c r="J38" s="1">
        <v>119759.71889</v>
      </c>
      <c r="K38" s="1">
        <v>124948.91161</v>
      </c>
      <c r="L38" s="244">
        <f>(K38-J38)*100/J38</f>
        <v>4.333003423936137</v>
      </c>
      <c r="M38" s="244">
        <f>(K38-AC38)*100/AC38</f>
        <v>154.3126915452251</v>
      </c>
      <c r="N38" s="14">
        <v>17390</v>
      </c>
      <c r="O38" s="14">
        <v>19272</v>
      </c>
      <c r="P38" s="14">
        <v>21644</v>
      </c>
      <c r="Q38" s="14">
        <v>23704</v>
      </c>
      <c r="R38" s="14">
        <v>26000</v>
      </c>
      <c r="S38" s="14">
        <v>28724</v>
      </c>
      <c r="T38" s="14">
        <v>31585</v>
      </c>
      <c r="U38" s="14">
        <v>34390</v>
      </c>
      <c r="V38" s="14">
        <v>37502</v>
      </c>
      <c r="W38" s="14">
        <v>38250</v>
      </c>
      <c r="X38" s="14">
        <v>40132</v>
      </c>
      <c r="Y38" s="14">
        <v>41818</v>
      </c>
      <c r="Z38" s="14">
        <v>43756</v>
      </c>
      <c r="AA38" s="14">
        <v>46221</v>
      </c>
      <c r="AB38" s="14">
        <v>48275</v>
      </c>
      <c r="AC38" s="14">
        <v>49132</v>
      </c>
      <c r="AD38" s="14"/>
      <c r="AE38" s="14"/>
      <c r="AF38" s="3">
        <v>55109631</v>
      </c>
      <c r="AG38" s="3">
        <f>AF38/1000</f>
        <v>55109.631</v>
      </c>
      <c r="AI38" s="3">
        <v>54566024</v>
      </c>
      <c r="AJ38" s="3">
        <f>AI38/1000</f>
        <v>54566.024</v>
      </c>
      <c r="AL38" s="3">
        <v>58664747</v>
      </c>
      <c r="AM38" s="3">
        <f>AL38/1000</f>
        <v>58664.747</v>
      </c>
      <c r="AO38" s="3">
        <v>65433391</v>
      </c>
      <c r="AP38" s="3">
        <f>AO38/1000</f>
        <v>65433.391</v>
      </c>
      <c r="AR38" s="3">
        <v>73174887</v>
      </c>
      <c r="AS38" s="3">
        <f t="shared" si="2"/>
        <v>73174.887</v>
      </c>
      <c r="AU38" s="3">
        <v>83177960.11999999</v>
      </c>
      <c r="AV38" s="3">
        <f t="shared" si="3"/>
        <v>83177.96011999999</v>
      </c>
      <c r="AX38" s="3">
        <v>97814717.04</v>
      </c>
      <c r="AY38" s="3">
        <f>AX38/1000</f>
        <v>97814.71704</v>
      </c>
      <c r="AZ38" s="3">
        <v>113685915.13000001</v>
      </c>
      <c r="BA38" s="3">
        <f>AZ38/1000</f>
        <v>113685.91513000001</v>
      </c>
      <c r="BB38" s="3">
        <v>119759718.89</v>
      </c>
      <c r="BC38" s="3">
        <f>BB38/1000</f>
        <v>119759.71889</v>
      </c>
      <c r="BD38" s="3">
        <v>124948911.61</v>
      </c>
      <c r="BE38" s="3">
        <f>BD38/1000</f>
        <v>124948.91161</v>
      </c>
    </row>
    <row r="39" spans="1:57" ht="12.75">
      <c r="A39" s="17" t="s">
        <v>29</v>
      </c>
      <c r="B39" s="1">
        <v>10584</v>
      </c>
      <c r="C39" s="1">
        <v>11005</v>
      </c>
      <c r="D39" s="1">
        <v>12709</v>
      </c>
      <c r="E39" s="1">
        <v>15968</v>
      </c>
      <c r="F39" s="1">
        <v>17668</v>
      </c>
      <c r="G39" s="1">
        <v>18613.61955</v>
      </c>
      <c r="H39" s="1">
        <v>20213.94761</v>
      </c>
      <c r="I39" s="1">
        <v>22235.543540000002</v>
      </c>
      <c r="J39" s="1">
        <v>23068.8863</v>
      </c>
      <c r="K39" s="1">
        <v>23817.936429999998</v>
      </c>
      <c r="L39" s="244">
        <f>(K39-J39)*100/J39</f>
        <v>3.2470147030895014</v>
      </c>
      <c r="M39" s="244">
        <f>(K39-AC39)*100/AC39</f>
        <v>130.77159606627262</v>
      </c>
      <c r="N39" s="14">
        <v>5169</v>
      </c>
      <c r="O39" s="14">
        <v>5519</v>
      </c>
      <c r="P39" s="14">
        <v>5509</v>
      </c>
      <c r="Q39" s="14">
        <v>5733</v>
      </c>
      <c r="R39" s="14">
        <v>5970</v>
      </c>
      <c r="S39" s="14">
        <v>6354</v>
      </c>
      <c r="T39" s="14">
        <v>6807</v>
      </c>
      <c r="U39" s="14">
        <v>7268</v>
      </c>
      <c r="V39" s="14">
        <v>7019</v>
      </c>
      <c r="W39" s="14">
        <v>6908</v>
      </c>
      <c r="X39" s="14">
        <v>6933</v>
      </c>
      <c r="Y39" s="14">
        <v>7820</v>
      </c>
      <c r="Z39" s="14">
        <v>8805</v>
      </c>
      <c r="AA39" s="14">
        <v>7872</v>
      </c>
      <c r="AB39" s="14">
        <v>10478</v>
      </c>
      <c r="AC39" s="14">
        <v>10321</v>
      </c>
      <c r="AD39" s="14"/>
      <c r="AE39" s="14"/>
      <c r="AF39" s="3">
        <v>10584399</v>
      </c>
      <c r="AG39" s="3">
        <f>AF39/1000</f>
        <v>10584.399</v>
      </c>
      <c r="AI39" s="3">
        <v>11005254</v>
      </c>
      <c r="AJ39" s="3">
        <f>AI39/1000</f>
        <v>11005.254</v>
      </c>
      <c r="AL39" s="3">
        <v>12709086</v>
      </c>
      <c r="AM39" s="3">
        <f>AL39/1000</f>
        <v>12709.086</v>
      </c>
      <c r="AO39" s="3">
        <v>15967805</v>
      </c>
      <c r="AP39" s="3">
        <f>AO39/1000</f>
        <v>15967.805</v>
      </c>
      <c r="AR39" s="3">
        <v>17667953</v>
      </c>
      <c r="AS39" s="3">
        <f t="shared" si="2"/>
        <v>17667.953</v>
      </c>
      <c r="AU39" s="3">
        <v>18613619.55</v>
      </c>
      <c r="AV39" s="3">
        <f t="shared" si="3"/>
        <v>18613.61955</v>
      </c>
      <c r="AX39" s="3">
        <v>20213947.61</v>
      </c>
      <c r="AY39" s="3">
        <f>AX39/1000</f>
        <v>20213.94761</v>
      </c>
      <c r="AZ39" s="3">
        <v>22235543.540000003</v>
      </c>
      <c r="BA39" s="3">
        <f>AZ39/1000</f>
        <v>22235.543540000002</v>
      </c>
      <c r="BB39" s="3">
        <v>23068886.299999997</v>
      </c>
      <c r="BC39" s="3">
        <f>BB39/1000</f>
        <v>23068.8863</v>
      </c>
      <c r="BD39" s="3">
        <v>23817936.43</v>
      </c>
      <c r="BE39" s="3">
        <f>BD39/1000</f>
        <v>23817.936429999998</v>
      </c>
    </row>
    <row r="40" spans="1:32" ht="12.75">
      <c r="A40" s="1" t="s">
        <v>304</v>
      </c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S40" s="14"/>
      <c r="X40" s="19"/>
      <c r="Y40" s="19"/>
      <c r="Z40" s="19"/>
      <c r="AA40" s="19"/>
      <c r="AB40" s="19"/>
      <c r="AC40" s="19"/>
      <c r="AD40" s="19"/>
      <c r="AE40" s="19"/>
      <c r="AF40" s="19"/>
    </row>
    <row r="41" spans="2:32" ht="12.75">
      <c r="B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2:32" ht="12.75">
      <c r="B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2:32" ht="12.75">
      <c r="B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2:32" ht="12.75">
      <c r="B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2:32" ht="12.75">
      <c r="B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ht="12.75">
      <c r="B46" s="14"/>
    </row>
    <row r="47" ht="12.75">
      <c r="B47" s="14"/>
    </row>
    <row r="48" ht="12.75">
      <c r="B48" s="14"/>
    </row>
    <row r="49" ht="12.75">
      <c r="B49" s="14"/>
    </row>
    <row r="50" ht="12.75">
      <c r="B50" s="14"/>
    </row>
    <row r="51" ht="12.75">
      <c r="B51" s="14"/>
    </row>
    <row r="52" ht="12.75">
      <c r="B52" s="14"/>
    </row>
  </sheetData>
  <sheetProtection password="CAF5" sheet="1"/>
  <mergeCells count="3">
    <mergeCell ref="A3:M3"/>
    <mergeCell ref="A4:M4"/>
    <mergeCell ref="A1:M1"/>
  </mergeCells>
  <printOptions/>
  <pageMargins left="0.52" right="0.48" top="1" bottom="0.84" header="0.5" footer="0.5"/>
  <pageSetup fitToHeight="1" fitToWidth="1" orientation="landscape" scale="76" r:id="rId1"/>
  <headerFooter scaleWithDoc="0" alignWithMargins="0">
    <oddHeader>&amp;R
</oddHeader>
    <oddFooter>&amp;L&amp;"Arial,Italic"&amp;10MSDE-LFRO  10 / 2011&amp;C&amp;"Arial,Regular"&amp;10- 3 -&amp;R&amp;"Arial,Italic"&amp;10Selected Financial Data - Part 4</oddFoot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1"/>
  <sheetViews>
    <sheetView zoomScalePageLayoutView="0" workbookViewId="0" topLeftCell="A28">
      <selection activeCell="M41" sqref="M41"/>
    </sheetView>
  </sheetViews>
  <sheetFormatPr defaultColWidth="10.00390625" defaultRowHeight="15.75"/>
  <cols>
    <col min="1" max="1" width="12.875" style="1" customWidth="1"/>
    <col min="2" max="8" width="12.625" style="1" customWidth="1"/>
    <col min="9" max="11" width="11.50390625" style="1" customWidth="1"/>
    <col min="12" max="12" width="9.00390625" style="1" customWidth="1"/>
    <col min="13" max="13" width="8.50390625" style="1" customWidth="1"/>
    <col min="14" max="14" width="9.375" style="1" bestFit="1" customWidth="1"/>
    <col min="15" max="15" width="10.00390625" style="1" customWidth="1"/>
    <col min="16" max="23" width="10.125" style="1" customWidth="1"/>
    <col min="24" max="24" width="10.875" style="1" bestFit="1" customWidth="1"/>
    <col min="25" max="25" width="12.625" style="1" customWidth="1"/>
    <col min="26" max="27" width="10.875" style="1" bestFit="1" customWidth="1"/>
    <col min="28" max="28" width="9.375" style="1" bestFit="1" customWidth="1"/>
    <col min="29" max="30" width="9.375" style="1" customWidth="1"/>
    <col min="31" max="32" width="12.50390625" style="3" bestFit="1" customWidth="1"/>
    <col min="33" max="33" width="12.50390625" style="3" customWidth="1"/>
    <col min="34" max="34" width="3.25390625" style="3" customWidth="1"/>
    <col min="35" max="35" width="12.50390625" style="3" bestFit="1" customWidth="1"/>
    <col min="36" max="36" width="9.375" style="3" bestFit="1" customWidth="1"/>
    <col min="37" max="37" width="2.875" style="3" customWidth="1"/>
    <col min="38" max="38" width="12.50390625" style="3" bestFit="1" customWidth="1"/>
    <col min="39" max="39" width="9.375" style="3" bestFit="1" customWidth="1"/>
    <col min="40" max="40" width="2.25390625" style="3" customWidth="1"/>
    <col min="41" max="41" width="12.50390625" style="3" bestFit="1" customWidth="1"/>
    <col min="42" max="42" width="9.375" style="3" bestFit="1" customWidth="1"/>
    <col min="43" max="43" width="1.875" style="3" customWidth="1"/>
    <col min="44" max="44" width="12.50390625" style="3" bestFit="1" customWidth="1"/>
    <col min="45" max="45" width="9.375" style="3" bestFit="1" customWidth="1"/>
    <col min="46" max="46" width="2.625" style="3" customWidth="1"/>
    <col min="47" max="47" width="12.50390625" style="3" bestFit="1" customWidth="1"/>
    <col min="48" max="48" width="9.375" style="3" bestFit="1" customWidth="1"/>
    <col min="49" max="49" width="2.625" style="3" customWidth="1"/>
    <col min="50" max="50" width="12.50390625" style="3" bestFit="1" customWidth="1"/>
    <col min="51" max="51" width="9.375" style="3" bestFit="1" customWidth="1"/>
    <col min="52" max="52" width="12.50390625" style="3" bestFit="1" customWidth="1"/>
    <col min="53" max="53" width="10.00390625" style="3" customWidth="1"/>
    <col min="54" max="54" width="12.50390625" style="3" bestFit="1" customWidth="1"/>
    <col min="55" max="55" width="9.375" style="3" bestFit="1" customWidth="1"/>
    <col min="56" max="56" width="13.125" style="3" bestFit="1" customWidth="1"/>
    <col min="57" max="16384" width="10.00390625" style="3" customWidth="1"/>
  </cols>
  <sheetData>
    <row r="1" spans="1:25" ht="12.75">
      <c r="A1" s="115" t="s">
        <v>83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201"/>
      <c r="R1" s="2"/>
      <c r="S1" s="2"/>
      <c r="Y1" s="115"/>
    </row>
    <row r="2" spans="1:25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201"/>
      <c r="R2" s="2"/>
      <c r="S2" s="2"/>
      <c r="X2" s="2"/>
      <c r="Y2" s="115"/>
    </row>
    <row r="3" spans="1:30" s="225" customFormat="1" ht="12.75">
      <c r="A3" s="115" t="s">
        <v>44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201"/>
      <c r="O3" s="201"/>
      <c r="P3" s="68"/>
      <c r="Q3" s="68"/>
      <c r="R3" s="68"/>
      <c r="S3" s="68"/>
      <c r="T3" s="68"/>
      <c r="U3" s="68"/>
      <c r="V3" s="68"/>
      <c r="W3" s="68"/>
      <c r="X3" s="68"/>
      <c r="Y3" s="201"/>
      <c r="Z3" s="68"/>
      <c r="AA3" s="68"/>
      <c r="AB3" s="68"/>
      <c r="AC3" s="68"/>
      <c r="AD3" s="68"/>
    </row>
    <row r="4" spans="1:33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201"/>
      <c r="P4" s="201"/>
      <c r="Q4" s="10"/>
      <c r="X4" s="2"/>
      <c r="Y4" s="2"/>
      <c r="Z4" s="10"/>
      <c r="AA4" s="2"/>
      <c r="AB4" s="2"/>
      <c r="AC4" s="2"/>
      <c r="AD4" s="2"/>
      <c r="AE4" s="2"/>
      <c r="AF4" s="2"/>
      <c r="AG4" s="1"/>
    </row>
    <row r="5" spans="1:25" ht="13.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68"/>
      <c r="Y5" s="115"/>
    </row>
    <row r="6" spans="1:31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7"/>
      <c r="AE6" s="1"/>
    </row>
    <row r="7" spans="12:31" ht="12.75">
      <c r="L7" s="315" t="s">
        <v>34</v>
      </c>
      <c r="M7" s="315"/>
      <c r="AE7" s="1"/>
    </row>
    <row r="8" spans="2:57" ht="12.75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AA8" s="7"/>
      <c r="AB8" s="7"/>
      <c r="AC8" s="7"/>
      <c r="AD8" s="7"/>
      <c r="AE8" s="1"/>
      <c r="AJ8" s="3" t="s">
        <v>210</v>
      </c>
      <c r="AM8" s="3" t="s">
        <v>210</v>
      </c>
      <c r="AP8" s="3" t="s">
        <v>210</v>
      </c>
      <c r="AS8" s="3" t="s">
        <v>210</v>
      </c>
      <c r="AV8" s="3" t="s">
        <v>210</v>
      </c>
      <c r="AY8" s="3" t="s">
        <v>210</v>
      </c>
      <c r="BA8" s="189" t="s">
        <v>209</v>
      </c>
      <c r="BC8" s="189" t="s">
        <v>209</v>
      </c>
      <c r="BE8" s="189" t="s">
        <v>209</v>
      </c>
    </row>
    <row r="9" spans="1:57" ht="13.5" thickBot="1">
      <c r="A9" s="8" t="s">
        <v>1</v>
      </c>
      <c r="B9" s="9" t="s">
        <v>105</v>
      </c>
      <c r="C9" s="9" t="s">
        <v>161</v>
      </c>
      <c r="D9" s="9" t="s">
        <v>168</v>
      </c>
      <c r="E9" s="9" t="s">
        <v>184</v>
      </c>
      <c r="F9" s="9" t="s">
        <v>194</v>
      </c>
      <c r="G9" s="9" t="s">
        <v>208</v>
      </c>
      <c r="H9" s="9" t="s">
        <v>243</v>
      </c>
      <c r="I9" s="9" t="s">
        <v>256</v>
      </c>
      <c r="J9" s="9" t="s">
        <v>269</v>
      </c>
      <c r="K9" s="9" t="s">
        <v>284</v>
      </c>
      <c r="L9" s="9" t="s">
        <v>84</v>
      </c>
      <c r="M9" s="9" t="s">
        <v>84</v>
      </c>
      <c r="N9" s="125" t="s">
        <v>2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17" t="s">
        <v>181</v>
      </c>
      <c r="AA9" s="34" t="s">
        <v>182</v>
      </c>
      <c r="AB9" s="40" t="s">
        <v>183</v>
      </c>
      <c r="AC9" s="9" t="s">
        <v>104</v>
      </c>
      <c r="AD9" s="9"/>
      <c r="AE9" s="9" t="s">
        <v>105</v>
      </c>
      <c r="AF9" s="9" t="s">
        <v>105</v>
      </c>
      <c r="AG9" s="26"/>
      <c r="AI9" s="9" t="s">
        <v>161</v>
      </c>
      <c r="AJ9" s="9" t="s">
        <v>161</v>
      </c>
      <c r="AL9" s="3" t="s">
        <v>168</v>
      </c>
      <c r="AM9" s="3" t="s">
        <v>168</v>
      </c>
      <c r="AO9" s="3" t="s">
        <v>184</v>
      </c>
      <c r="AP9" s="3" t="s">
        <v>184</v>
      </c>
      <c r="AR9" s="3" t="s">
        <v>194</v>
      </c>
      <c r="AS9" s="3" t="s">
        <v>194</v>
      </c>
      <c r="AU9" s="20" t="s">
        <v>208</v>
      </c>
      <c r="AV9" s="3" t="s">
        <v>208</v>
      </c>
      <c r="AX9" s="20" t="s">
        <v>243</v>
      </c>
      <c r="AY9" s="3" t="s">
        <v>243</v>
      </c>
      <c r="AZ9" s="20" t="s">
        <v>256</v>
      </c>
      <c r="BA9" s="20" t="s">
        <v>256</v>
      </c>
      <c r="BB9" s="20" t="s">
        <v>269</v>
      </c>
      <c r="BC9" s="20" t="s">
        <v>269</v>
      </c>
      <c r="BD9" s="3" t="s">
        <v>284</v>
      </c>
      <c r="BE9" s="3" t="s">
        <v>284</v>
      </c>
    </row>
    <row r="10" spans="1:57" ht="12.75">
      <c r="A10" s="7" t="s">
        <v>5</v>
      </c>
      <c r="B10" s="200">
        <f aca="true" t="shared" si="0" ref="B10:G10">SUM(B12:B39)</f>
        <v>3624544</v>
      </c>
      <c r="C10" s="200">
        <f t="shared" si="0"/>
        <v>3851120</v>
      </c>
      <c r="D10" s="200">
        <f t="shared" si="0"/>
        <v>3999047</v>
      </c>
      <c r="E10" s="200">
        <f t="shared" si="0"/>
        <v>4171053</v>
      </c>
      <c r="F10" s="200">
        <f t="shared" si="0"/>
        <v>4369876</v>
      </c>
      <c r="G10" s="200">
        <f t="shared" si="0"/>
        <v>4576721</v>
      </c>
      <c r="H10" s="200">
        <f>SUM(H12:H39)</f>
        <v>4911481.76559</v>
      </c>
      <c r="I10" s="200">
        <f>SUM(I12:I39)</f>
        <v>5126429.333670001</v>
      </c>
      <c r="J10" s="200">
        <f>SUM(J12:J39)</f>
        <v>5359096.50966</v>
      </c>
      <c r="K10" s="200">
        <f>SUM(K12:K39)</f>
        <v>5329281.6906</v>
      </c>
      <c r="L10" s="244">
        <f>(K10-J10)*100/J10</f>
        <v>-0.5563404018990361</v>
      </c>
      <c r="M10" s="244">
        <f>(K10-AC10)*100/AC10</f>
        <v>59.33716642992093</v>
      </c>
      <c r="N10" s="11">
        <f aca="true" t="shared" si="1" ref="N10:T10">SUM(N12:N39)</f>
        <v>1326266</v>
      </c>
      <c r="O10" s="11">
        <f t="shared" si="1"/>
        <v>1434688</v>
      </c>
      <c r="P10" s="11">
        <f t="shared" si="1"/>
        <v>1559467</v>
      </c>
      <c r="Q10" s="11">
        <f t="shared" si="1"/>
        <v>1695218</v>
      </c>
      <c r="R10" s="11">
        <f t="shared" si="1"/>
        <v>1879809</v>
      </c>
      <c r="S10" s="11">
        <f t="shared" si="1"/>
        <v>2102992</v>
      </c>
      <c r="T10" s="11">
        <f t="shared" si="1"/>
        <v>2302613</v>
      </c>
      <c r="U10" s="11">
        <f>SUM(W12:W43)</f>
        <v>2553671</v>
      </c>
      <c r="V10" s="11">
        <f>SUM(X12:X43)</f>
        <v>2728936</v>
      </c>
      <c r="W10" s="18">
        <f aca="true" t="shared" si="2" ref="W10:AB10">SUM(W12:W39)</f>
        <v>2553671</v>
      </c>
      <c r="X10" s="200">
        <f t="shared" si="2"/>
        <v>2728936</v>
      </c>
      <c r="Y10" s="200">
        <f t="shared" si="2"/>
        <v>2810524</v>
      </c>
      <c r="Z10" s="200">
        <f t="shared" si="2"/>
        <v>2893531</v>
      </c>
      <c r="AA10" s="200">
        <f t="shared" si="2"/>
        <v>2999645</v>
      </c>
      <c r="AB10" s="200">
        <f t="shared" si="2"/>
        <v>3150814</v>
      </c>
      <c r="AC10" s="200">
        <f>SUM(AC12:AC39)</f>
        <v>3344657</v>
      </c>
      <c r="AD10" s="200"/>
      <c r="AE10" s="11">
        <f>SUM(AE12:AE43)</f>
        <v>3624545182</v>
      </c>
      <c r="AF10" s="11">
        <f>SUM(AF12:AF43)</f>
        <v>3624545.1820000005</v>
      </c>
      <c r="AG10" s="11"/>
      <c r="AI10" s="11">
        <f>SUM(AI12:AI43)</f>
        <v>3851119054</v>
      </c>
      <c r="AJ10" s="11">
        <f>SUM(AJ12:AJ43)</f>
        <v>3851119.0540000005</v>
      </c>
      <c r="AL10" s="11">
        <f>SUM(AL12:AL43)</f>
        <v>3999046147</v>
      </c>
      <c r="AM10" s="11">
        <f>SUM(AM12:AM43)</f>
        <v>3999046.147</v>
      </c>
      <c r="AO10" s="11">
        <f>SUM(AO12:AO43)</f>
        <v>4171051085</v>
      </c>
      <c r="AP10" s="11">
        <f>SUM(AP12:AP43)</f>
        <v>4171051.0850000004</v>
      </c>
      <c r="AR10" s="11">
        <f>SUM(AR12:AR43)</f>
        <v>4369876181</v>
      </c>
      <c r="AS10" s="11">
        <f>SUM(AS12:AS43)</f>
        <v>4369876.181</v>
      </c>
      <c r="AU10" s="11">
        <f>SUM(AU12:AU43)</f>
        <v>4576720064</v>
      </c>
      <c r="AV10" s="11">
        <f>SUM(AV12:AV43)</f>
        <v>4576720.063999999</v>
      </c>
      <c r="AX10" s="11">
        <f aca="true" t="shared" si="3" ref="AX10:BE10">SUM(AX12:AX43)</f>
        <v>4911481765.59</v>
      </c>
      <c r="AY10" s="11">
        <f t="shared" si="3"/>
        <v>4911481.76559</v>
      </c>
      <c r="AZ10" s="11">
        <f t="shared" si="3"/>
        <v>5126429333.67</v>
      </c>
      <c r="BA10" s="11">
        <f t="shared" si="3"/>
        <v>5126429.333670001</v>
      </c>
      <c r="BB10" s="11">
        <f t="shared" si="3"/>
        <v>5359096509.66</v>
      </c>
      <c r="BC10" s="11">
        <f t="shared" si="3"/>
        <v>5359096.50966</v>
      </c>
      <c r="BD10" s="131">
        <f>SUM(BD12:BD39)</f>
        <v>5329281690.6</v>
      </c>
      <c r="BE10" s="11">
        <f t="shared" si="3"/>
        <v>5329281.6906</v>
      </c>
    </row>
    <row r="11" spans="12:56" ht="12.75">
      <c r="L11" s="244"/>
      <c r="M11" s="244"/>
      <c r="O11" s="14"/>
      <c r="R11" s="14"/>
      <c r="S11" s="14"/>
      <c r="Y11" s="14"/>
      <c r="AA11" s="69"/>
      <c r="AB11" s="69"/>
      <c r="AC11" s="264"/>
      <c r="AD11" s="264"/>
      <c r="AE11" s="1"/>
      <c r="BD11" s="277"/>
    </row>
    <row r="12" spans="1:57" ht="12.75">
      <c r="A12" s="1" t="s">
        <v>6</v>
      </c>
      <c r="B12" s="1">
        <v>24868</v>
      </c>
      <c r="C12" s="1">
        <v>26000</v>
      </c>
      <c r="D12" s="1">
        <v>25658</v>
      </c>
      <c r="E12" s="1">
        <v>26219</v>
      </c>
      <c r="F12" s="1">
        <v>25778</v>
      </c>
      <c r="G12" s="1">
        <v>26639</v>
      </c>
      <c r="H12" s="1">
        <v>27388.9998</v>
      </c>
      <c r="I12" s="1">
        <v>28389</v>
      </c>
      <c r="J12" s="1">
        <v>28452.25</v>
      </c>
      <c r="K12" s="1">
        <v>28200.31415</v>
      </c>
      <c r="L12" s="244">
        <f>(K12-J12)*100/J12</f>
        <v>-0.8854689875141744</v>
      </c>
      <c r="M12" s="244">
        <f>(K12-AC12)*100/AC12</f>
        <v>22.450343682153704</v>
      </c>
      <c r="N12" s="21">
        <v>14821</v>
      </c>
      <c r="O12" s="14">
        <v>14896</v>
      </c>
      <c r="P12" s="14">
        <v>15250</v>
      </c>
      <c r="Q12" s="14">
        <v>15750</v>
      </c>
      <c r="R12" s="14">
        <v>16400</v>
      </c>
      <c r="S12" s="14">
        <v>17000</v>
      </c>
      <c r="T12" s="14">
        <v>17932</v>
      </c>
      <c r="U12" s="14">
        <v>17488</v>
      </c>
      <c r="V12" s="14">
        <v>17786</v>
      </c>
      <c r="W12" s="14">
        <v>19250</v>
      </c>
      <c r="X12" s="14">
        <v>20230</v>
      </c>
      <c r="Y12" s="14">
        <v>20675</v>
      </c>
      <c r="Z12" s="14">
        <v>21086</v>
      </c>
      <c r="AA12" s="70">
        <v>21580</v>
      </c>
      <c r="AB12" s="70">
        <v>22237</v>
      </c>
      <c r="AC12" s="208">
        <v>23030</v>
      </c>
      <c r="AD12" s="208"/>
      <c r="AE12" s="1">
        <v>24867933</v>
      </c>
      <c r="AF12" s="3">
        <f>AE12/1000</f>
        <v>24867.933</v>
      </c>
      <c r="AI12" s="3">
        <v>25999571</v>
      </c>
      <c r="AJ12" s="3">
        <f>AI12/1000</f>
        <v>25999.571</v>
      </c>
      <c r="AL12" s="3">
        <v>25657928</v>
      </c>
      <c r="AM12" s="3">
        <f>AL12/1000</f>
        <v>25657.928</v>
      </c>
      <c r="AO12" s="3">
        <v>26218807</v>
      </c>
      <c r="AP12" s="3">
        <f>AO12/1000</f>
        <v>26218.807</v>
      </c>
      <c r="AR12" s="3">
        <v>25778411</v>
      </c>
      <c r="AS12" s="3">
        <f>AR12/1000</f>
        <v>25778.411</v>
      </c>
      <c r="AU12" s="3">
        <v>26639036</v>
      </c>
      <c r="AV12" s="3">
        <f>AU12/1000</f>
        <v>26639.036</v>
      </c>
      <c r="AX12" s="3">
        <v>27388999.8</v>
      </c>
      <c r="AY12" s="3">
        <f>AX12/1000</f>
        <v>27388.9998</v>
      </c>
      <c r="AZ12" s="3">
        <v>28389000</v>
      </c>
      <c r="BA12" s="3">
        <f>AZ12/1000</f>
        <v>28389</v>
      </c>
      <c r="BB12" s="3">
        <v>28452250</v>
      </c>
      <c r="BC12" s="3">
        <f>BB12/1000</f>
        <v>28452.25</v>
      </c>
      <c r="BD12" s="278">
        <v>28200314.15</v>
      </c>
      <c r="BE12" s="3">
        <f>BD12/1000</f>
        <v>28200.31415</v>
      </c>
    </row>
    <row r="13" spans="1:57" ht="12.75">
      <c r="A13" s="1" t="s">
        <v>7</v>
      </c>
      <c r="B13" s="1">
        <v>342692</v>
      </c>
      <c r="C13" s="1">
        <v>367582</v>
      </c>
      <c r="D13" s="1">
        <v>383840</v>
      </c>
      <c r="E13" s="1">
        <v>390600</v>
      </c>
      <c r="F13" s="1">
        <v>414261</v>
      </c>
      <c r="G13" s="1">
        <v>449214</v>
      </c>
      <c r="H13" s="1">
        <v>488254.35</v>
      </c>
      <c r="I13" s="1">
        <v>514347.4</v>
      </c>
      <c r="J13" s="1">
        <v>551340.8</v>
      </c>
      <c r="K13" s="1">
        <v>554023.5</v>
      </c>
      <c r="L13" s="244">
        <f>(K13-J13)*100/J13</f>
        <v>0.48657744901156474</v>
      </c>
      <c r="M13" s="244">
        <f>(K13-AC13)*100/AC13</f>
        <v>75.27674517930303</v>
      </c>
      <c r="N13" s="21">
        <v>117958</v>
      </c>
      <c r="O13" s="14">
        <v>131250</v>
      </c>
      <c r="P13" s="14">
        <v>143539</v>
      </c>
      <c r="Q13" s="14">
        <v>152942</v>
      </c>
      <c r="R13" s="14">
        <v>166332</v>
      </c>
      <c r="S13" s="14">
        <v>190950</v>
      </c>
      <c r="T13" s="14">
        <v>213363</v>
      </c>
      <c r="U13" s="14">
        <v>207212</v>
      </c>
      <c r="V13" s="14">
        <v>214493</v>
      </c>
      <c r="W13" s="14">
        <v>238107</v>
      </c>
      <c r="X13" s="14">
        <v>260745</v>
      </c>
      <c r="Y13" s="14">
        <v>266479</v>
      </c>
      <c r="Z13" s="14">
        <v>269866</v>
      </c>
      <c r="AA13" s="70">
        <v>274678</v>
      </c>
      <c r="AB13" s="70">
        <v>288075</v>
      </c>
      <c r="AC13" s="208">
        <v>316085</v>
      </c>
      <c r="AD13" s="208"/>
      <c r="AE13" s="1">
        <v>342691879</v>
      </c>
      <c r="AF13" s="3">
        <f>AE13/1000</f>
        <v>342691.879</v>
      </c>
      <c r="AI13" s="3">
        <v>367581500</v>
      </c>
      <c r="AJ13" s="3">
        <f>AI13/1000</f>
        <v>367581.5</v>
      </c>
      <c r="AL13" s="3">
        <v>383840000</v>
      </c>
      <c r="AM13" s="3">
        <f>AL13/1000</f>
        <v>383840</v>
      </c>
      <c r="AO13" s="3">
        <v>390600000</v>
      </c>
      <c r="AP13" s="3">
        <f>AO13/1000</f>
        <v>390600</v>
      </c>
      <c r="AR13" s="3">
        <v>414260500</v>
      </c>
      <c r="AS13" s="3">
        <f>AR13/1000</f>
        <v>414260.5</v>
      </c>
      <c r="AU13" s="3">
        <v>449214000</v>
      </c>
      <c r="AV13" s="3">
        <f>AU13/1000</f>
        <v>449214</v>
      </c>
      <c r="AX13" s="3">
        <v>488254350</v>
      </c>
      <c r="AY13" s="3">
        <f>AX13/1000</f>
        <v>488254.35</v>
      </c>
      <c r="AZ13" s="3">
        <v>514347400</v>
      </c>
      <c r="BA13" s="3">
        <f>AZ13/1000</f>
        <v>514347.4</v>
      </c>
      <c r="BB13" s="3">
        <v>551340800</v>
      </c>
      <c r="BC13" s="3">
        <f>BB13/1000</f>
        <v>551340.8</v>
      </c>
      <c r="BD13" s="278">
        <v>554023500</v>
      </c>
      <c r="BE13" s="3">
        <f>BD13/1000</f>
        <v>554023.5</v>
      </c>
    </row>
    <row r="14" spans="1:57" ht="12.75">
      <c r="A14" s="1" t="s">
        <v>8</v>
      </c>
      <c r="B14" s="1">
        <v>204428</v>
      </c>
      <c r="C14" s="1">
        <v>210260</v>
      </c>
      <c r="D14" s="1">
        <v>207400</v>
      </c>
      <c r="E14" s="1">
        <v>207555</v>
      </c>
      <c r="F14" s="1">
        <v>202685</v>
      </c>
      <c r="G14" s="1">
        <v>200042</v>
      </c>
      <c r="H14" s="1">
        <v>200176.91864</v>
      </c>
      <c r="I14" s="1">
        <v>200396.16786000002</v>
      </c>
      <c r="J14" s="1">
        <v>200769.779</v>
      </c>
      <c r="K14" s="1">
        <v>203281.01973</v>
      </c>
      <c r="L14" s="244">
        <f>(K14-J14)*100/J14</f>
        <v>1.2508061434883535</v>
      </c>
      <c r="M14" s="244">
        <f>(K14-AC14)*100/AC14</f>
        <v>-0.38418164310391295</v>
      </c>
      <c r="N14" s="21">
        <v>117658</v>
      </c>
      <c r="O14" s="14">
        <v>121403</v>
      </c>
      <c r="P14" s="14">
        <v>126388</v>
      </c>
      <c r="Q14" s="14">
        <v>139147</v>
      </c>
      <c r="R14" s="14">
        <v>154096</v>
      </c>
      <c r="S14" s="14">
        <v>169472</v>
      </c>
      <c r="T14" s="14">
        <v>185703</v>
      </c>
      <c r="U14" s="14">
        <v>181176</v>
      </c>
      <c r="V14" s="14">
        <v>175009</v>
      </c>
      <c r="W14" s="14">
        <v>190191</v>
      </c>
      <c r="X14" s="14">
        <v>195554</v>
      </c>
      <c r="Y14" s="14">
        <v>199202</v>
      </c>
      <c r="Z14" s="14">
        <v>199202</v>
      </c>
      <c r="AA14" s="70">
        <v>200553</v>
      </c>
      <c r="AB14" s="70">
        <v>201565</v>
      </c>
      <c r="AC14" s="208">
        <v>204065</v>
      </c>
      <c r="AD14" s="208"/>
      <c r="AE14" s="1">
        <v>204428258</v>
      </c>
      <c r="AF14" s="3">
        <f>AE14/1000</f>
        <v>204428.258</v>
      </c>
      <c r="AI14" s="3">
        <v>210259915</v>
      </c>
      <c r="AJ14" s="3">
        <f>AI14/1000</f>
        <v>210259.915</v>
      </c>
      <c r="AL14" s="3">
        <v>207400244</v>
      </c>
      <c r="AM14" s="3">
        <f>AL14/1000</f>
        <v>207400.244</v>
      </c>
      <c r="AO14" s="3">
        <v>207554999</v>
      </c>
      <c r="AP14" s="3">
        <f>AO14/1000</f>
        <v>207554.999</v>
      </c>
      <c r="AR14" s="3">
        <v>202685137</v>
      </c>
      <c r="AS14" s="3">
        <f>AR14/1000</f>
        <v>202685.137</v>
      </c>
      <c r="AU14" s="3">
        <v>200042173</v>
      </c>
      <c r="AV14" s="3">
        <f>AU14/1000</f>
        <v>200042.173</v>
      </c>
      <c r="AX14" s="3">
        <v>200176918.64</v>
      </c>
      <c r="AY14" s="3">
        <f>AX14/1000</f>
        <v>200176.91864</v>
      </c>
      <c r="AZ14" s="3">
        <v>200396167.86</v>
      </c>
      <c r="BA14" s="3">
        <f>AZ14/1000</f>
        <v>200396.16786000002</v>
      </c>
      <c r="BB14" s="3">
        <v>200769779</v>
      </c>
      <c r="BC14" s="3">
        <f>BB14/1000</f>
        <v>200769.779</v>
      </c>
      <c r="BD14" s="278">
        <f>210018415-6737395.27</f>
        <v>203281019.73</v>
      </c>
      <c r="BE14" s="3">
        <f>BD14/1000</f>
        <v>203281.01973</v>
      </c>
    </row>
    <row r="15" spans="1:57" ht="12.75">
      <c r="A15" s="1" t="s">
        <v>9</v>
      </c>
      <c r="B15" s="1">
        <v>523250</v>
      </c>
      <c r="C15" s="1">
        <v>545984</v>
      </c>
      <c r="D15" s="1">
        <v>548229</v>
      </c>
      <c r="E15" s="1">
        <v>560335</v>
      </c>
      <c r="F15" s="1">
        <v>570513</v>
      </c>
      <c r="G15" s="1">
        <v>591810</v>
      </c>
      <c r="H15" s="1">
        <v>607173.54617</v>
      </c>
      <c r="I15" s="1">
        <v>617864.727</v>
      </c>
      <c r="J15" s="1">
        <v>646292.52</v>
      </c>
      <c r="K15" s="1">
        <v>670737.639</v>
      </c>
      <c r="L15" s="244">
        <f>(K15-J15)*100/J15</f>
        <v>3.782361429774856</v>
      </c>
      <c r="M15" s="244">
        <f>(K15-AC15)*100/AC15</f>
        <v>43.86812128257871</v>
      </c>
      <c r="N15" s="21">
        <v>226172</v>
      </c>
      <c r="O15" s="14">
        <v>240570</v>
      </c>
      <c r="P15" s="14">
        <v>257817</v>
      </c>
      <c r="Q15" s="14">
        <v>268181</v>
      </c>
      <c r="R15" s="14">
        <v>301198</v>
      </c>
      <c r="S15" s="14">
        <v>329124</v>
      </c>
      <c r="T15" s="14">
        <v>342250</v>
      </c>
      <c r="U15" s="14">
        <v>346193</v>
      </c>
      <c r="V15" s="14">
        <v>347349</v>
      </c>
      <c r="W15" s="14">
        <v>366443</v>
      </c>
      <c r="X15" s="14">
        <v>393346</v>
      </c>
      <c r="Y15" s="14">
        <v>404783</v>
      </c>
      <c r="Z15" s="14">
        <v>414233</v>
      </c>
      <c r="AA15" s="70">
        <v>426130</v>
      </c>
      <c r="AB15" s="70">
        <v>442282</v>
      </c>
      <c r="AC15" s="208">
        <v>466217</v>
      </c>
      <c r="AD15" s="208"/>
      <c r="AE15" s="1">
        <v>523250145</v>
      </c>
      <c r="AF15" s="3">
        <f>AE15/1000</f>
        <v>523250.145</v>
      </c>
      <c r="AI15" s="3">
        <v>545983980</v>
      </c>
      <c r="AJ15" s="3">
        <f>AI15/1000</f>
        <v>545983.98</v>
      </c>
      <c r="AL15" s="3">
        <v>548228835</v>
      </c>
      <c r="AM15" s="3">
        <f>AL15/1000</f>
        <v>548228.835</v>
      </c>
      <c r="AO15" s="3">
        <v>560334696</v>
      </c>
      <c r="AP15" s="3">
        <f>AO15/1000</f>
        <v>560334.696</v>
      </c>
      <c r="AR15" s="3">
        <v>570512547</v>
      </c>
      <c r="AS15" s="3">
        <f>AR15/1000</f>
        <v>570512.547</v>
      </c>
      <c r="AU15" s="3">
        <v>591809879</v>
      </c>
      <c r="AV15" s="3">
        <f>AU15/1000</f>
        <v>591809.879</v>
      </c>
      <c r="AX15" s="3">
        <v>607173546.17</v>
      </c>
      <c r="AY15" s="3">
        <f>AX15/1000</f>
        <v>607173.54617</v>
      </c>
      <c r="AZ15" s="3">
        <v>617864727</v>
      </c>
      <c r="BA15" s="3">
        <f>AZ15/1000</f>
        <v>617864.727</v>
      </c>
      <c r="BB15" s="3">
        <v>646292520</v>
      </c>
      <c r="BC15" s="3">
        <f>BB15/1000</f>
        <v>646292.52</v>
      </c>
      <c r="BD15" s="278">
        <v>670737639</v>
      </c>
      <c r="BE15" s="3">
        <f>BD15/1000</f>
        <v>670737.639</v>
      </c>
    </row>
    <row r="16" spans="1:57" ht="12.75">
      <c r="A16" s="1" t="s">
        <v>10</v>
      </c>
      <c r="B16" s="1">
        <v>62710</v>
      </c>
      <c r="C16" s="1">
        <v>68900</v>
      </c>
      <c r="D16" s="1">
        <v>73413</v>
      </c>
      <c r="E16" s="1">
        <v>76413</v>
      </c>
      <c r="F16" s="1">
        <v>80913</v>
      </c>
      <c r="G16" s="1">
        <v>85713</v>
      </c>
      <c r="H16" s="1">
        <v>90378.744</v>
      </c>
      <c r="I16" s="1">
        <v>95358.284</v>
      </c>
      <c r="J16" s="1">
        <v>100658.90151000001</v>
      </c>
      <c r="K16" s="1">
        <v>103615.515</v>
      </c>
      <c r="L16" s="244">
        <f>(K16-J16)*100/J16</f>
        <v>2.9372598405579287</v>
      </c>
      <c r="M16" s="244">
        <f>(K16-AC16)*100/AC16</f>
        <v>77.69767621334248</v>
      </c>
      <c r="N16" s="21">
        <v>17489</v>
      </c>
      <c r="O16" s="14">
        <v>18317</v>
      </c>
      <c r="P16" s="14">
        <v>18976</v>
      </c>
      <c r="Q16" s="14">
        <v>21271</v>
      </c>
      <c r="R16" s="14">
        <v>23750</v>
      </c>
      <c r="S16" s="14">
        <v>26671</v>
      </c>
      <c r="T16" s="14">
        <v>28671</v>
      </c>
      <c r="U16" s="14">
        <v>32834</v>
      </c>
      <c r="V16" s="14">
        <v>35803</v>
      </c>
      <c r="W16" s="14">
        <v>39504</v>
      </c>
      <c r="X16" s="14">
        <v>42004</v>
      </c>
      <c r="Y16" s="14">
        <v>45104</v>
      </c>
      <c r="Z16" s="14">
        <v>47504</v>
      </c>
      <c r="AA16" s="70">
        <v>50204</v>
      </c>
      <c r="AB16" s="70">
        <v>54460</v>
      </c>
      <c r="AC16" s="208">
        <v>58310</v>
      </c>
      <c r="AD16" s="208"/>
      <c r="AE16" s="1">
        <v>62710115</v>
      </c>
      <c r="AF16" s="3">
        <f>AE16/1000</f>
        <v>62710.115</v>
      </c>
      <c r="AI16" s="3">
        <v>68899949</v>
      </c>
      <c r="AJ16" s="3">
        <f>AI16/1000</f>
        <v>68899.949</v>
      </c>
      <c r="AL16" s="3">
        <v>73412612</v>
      </c>
      <c r="AM16" s="3">
        <f>AL16/1000</f>
        <v>73412.612</v>
      </c>
      <c r="AO16" s="3">
        <v>76412612</v>
      </c>
      <c r="AP16" s="3">
        <f>AO16/1000</f>
        <v>76412.612</v>
      </c>
      <c r="AR16" s="3">
        <v>80912612</v>
      </c>
      <c r="AS16" s="3">
        <f>AR16/1000</f>
        <v>80912.612</v>
      </c>
      <c r="AU16" s="3">
        <v>85712612</v>
      </c>
      <c r="AV16" s="3">
        <f>AU16/1000</f>
        <v>85712.612</v>
      </c>
      <c r="AX16" s="3">
        <v>90378744</v>
      </c>
      <c r="AY16" s="3">
        <f>AX16/1000</f>
        <v>90378.744</v>
      </c>
      <c r="AZ16" s="3">
        <v>95358284</v>
      </c>
      <c r="BA16" s="3">
        <f>AZ16/1000</f>
        <v>95358.284</v>
      </c>
      <c r="BB16" s="3">
        <v>100658901.51</v>
      </c>
      <c r="BC16" s="3">
        <f>BB16/1000</f>
        <v>100658.90151000001</v>
      </c>
      <c r="BD16" s="278">
        <v>103615515</v>
      </c>
      <c r="BE16" s="3">
        <f>BD16/1000</f>
        <v>103615.515</v>
      </c>
    </row>
    <row r="17" spans="12:56" ht="12.75">
      <c r="L17" s="244"/>
      <c r="M17" s="244"/>
      <c r="N17" s="2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70"/>
      <c r="AB17" s="70"/>
      <c r="AC17" s="208"/>
      <c r="AD17" s="208"/>
      <c r="AE17" s="1"/>
      <c r="BD17" s="278"/>
    </row>
    <row r="18" spans="1:57" ht="12.75">
      <c r="A18" s="1" t="s">
        <v>11</v>
      </c>
      <c r="B18" s="1">
        <v>10798</v>
      </c>
      <c r="C18" s="1">
        <v>10677</v>
      </c>
      <c r="D18" s="1">
        <v>10923</v>
      </c>
      <c r="E18" s="1">
        <v>10877</v>
      </c>
      <c r="F18" s="1">
        <v>10977</v>
      </c>
      <c r="G18" s="1">
        <v>11300</v>
      </c>
      <c r="H18" s="1">
        <v>11850</v>
      </c>
      <c r="I18" s="1">
        <v>12250</v>
      </c>
      <c r="J18" s="1">
        <v>12367.678</v>
      </c>
      <c r="K18" s="1">
        <v>12145.724</v>
      </c>
      <c r="L18" s="244">
        <f>(K18-J18)*100/J18</f>
        <v>-1.7946295173596833</v>
      </c>
      <c r="M18" s="244">
        <f>(K18-AC18)*100/AC18</f>
        <v>12.481237266160402</v>
      </c>
      <c r="N18" s="21">
        <v>4343</v>
      </c>
      <c r="O18" s="14">
        <v>4742</v>
      </c>
      <c r="P18" s="14">
        <v>5175</v>
      </c>
      <c r="Q18" s="14">
        <v>5627</v>
      </c>
      <c r="R18" s="14">
        <v>6238</v>
      </c>
      <c r="S18" s="14">
        <v>6812</v>
      </c>
      <c r="T18" s="14">
        <v>7712</v>
      </c>
      <c r="U18" s="14">
        <v>7662</v>
      </c>
      <c r="V18" s="14">
        <v>7662</v>
      </c>
      <c r="W18" s="14">
        <v>8912</v>
      </c>
      <c r="X18" s="14">
        <v>9582</v>
      </c>
      <c r="Y18" s="14">
        <v>9753</v>
      </c>
      <c r="Z18" s="14">
        <v>10049</v>
      </c>
      <c r="AA18" s="70">
        <v>10500</v>
      </c>
      <c r="AB18" s="70">
        <v>10698</v>
      </c>
      <c r="AC18" s="208">
        <v>10798</v>
      </c>
      <c r="AD18" s="208"/>
      <c r="AE18" s="1">
        <v>10797748</v>
      </c>
      <c r="AF18" s="3">
        <f>AE18/1000</f>
        <v>10797.748</v>
      </c>
      <c r="AI18" s="3">
        <v>10676594</v>
      </c>
      <c r="AJ18" s="3">
        <f>AI18/1000</f>
        <v>10676.594</v>
      </c>
      <c r="AL18" s="3">
        <v>10922859</v>
      </c>
      <c r="AM18" s="3">
        <f>AL18/1000</f>
        <v>10922.859</v>
      </c>
      <c r="AO18" s="3">
        <v>10877114</v>
      </c>
      <c r="AP18" s="3">
        <f>AO18/1000</f>
        <v>10877.114</v>
      </c>
      <c r="AR18" s="3">
        <v>10977114</v>
      </c>
      <c r="AS18" s="3">
        <f>AR18/1000</f>
        <v>10977.114</v>
      </c>
      <c r="AU18" s="3">
        <v>11300000</v>
      </c>
      <c r="AV18" s="3">
        <f>AU18/1000</f>
        <v>11300</v>
      </c>
      <c r="AX18" s="3">
        <v>11850000</v>
      </c>
      <c r="AY18" s="3">
        <f>AX18/1000</f>
        <v>11850</v>
      </c>
      <c r="AZ18" s="3">
        <v>12250000</v>
      </c>
      <c r="BA18" s="3">
        <f>AZ18/1000</f>
        <v>12250</v>
      </c>
      <c r="BB18" s="3">
        <v>12367678</v>
      </c>
      <c r="BC18" s="3">
        <f>BB18/1000</f>
        <v>12367.678</v>
      </c>
      <c r="BD18" s="160">
        <v>12145724</v>
      </c>
      <c r="BE18" s="3">
        <f>BD18/1000</f>
        <v>12145.724</v>
      </c>
    </row>
    <row r="19" spans="1:57" ht="12.75">
      <c r="A19" s="1" t="s">
        <v>12</v>
      </c>
      <c r="B19" s="1">
        <v>99455</v>
      </c>
      <c r="C19" s="1">
        <v>107235</v>
      </c>
      <c r="D19" s="1">
        <v>112827</v>
      </c>
      <c r="E19" s="1">
        <v>119534</v>
      </c>
      <c r="F19" s="1">
        <v>126687</v>
      </c>
      <c r="G19" s="1">
        <v>135807</v>
      </c>
      <c r="H19" s="1">
        <v>144998.072</v>
      </c>
      <c r="I19" s="1">
        <v>151107.358</v>
      </c>
      <c r="J19" s="1">
        <v>164164.876</v>
      </c>
      <c r="K19" s="1">
        <v>169601.292</v>
      </c>
      <c r="L19" s="244">
        <f>(K19-J19)*100/J19</f>
        <v>3.311558557751414</v>
      </c>
      <c r="M19" s="244">
        <f>(K19-AC19)*100/AC19</f>
        <v>81.33745188606619</v>
      </c>
      <c r="N19" s="21">
        <v>28139</v>
      </c>
      <c r="O19" s="14">
        <v>29808</v>
      </c>
      <c r="P19" s="14">
        <v>32002</v>
      </c>
      <c r="Q19" s="14">
        <v>36803</v>
      </c>
      <c r="R19" s="14">
        <v>43253</v>
      </c>
      <c r="S19" s="14">
        <v>48234</v>
      </c>
      <c r="T19" s="14">
        <v>54206</v>
      </c>
      <c r="U19" s="14">
        <v>55326</v>
      </c>
      <c r="V19" s="14">
        <v>56454</v>
      </c>
      <c r="W19" s="14">
        <v>64560</v>
      </c>
      <c r="X19" s="14">
        <v>73607</v>
      </c>
      <c r="Y19" s="14">
        <v>75801</v>
      </c>
      <c r="Z19" s="14">
        <v>78645</v>
      </c>
      <c r="AA19" s="70">
        <v>82337</v>
      </c>
      <c r="AB19" s="70">
        <v>89057</v>
      </c>
      <c r="AC19" s="208">
        <v>93528</v>
      </c>
      <c r="AD19" s="208"/>
      <c r="AE19" s="1">
        <v>99455133</v>
      </c>
      <c r="AF19" s="3">
        <f>AE19/1000</f>
        <v>99455.133</v>
      </c>
      <c r="AI19" s="3">
        <v>107234647</v>
      </c>
      <c r="AJ19" s="3">
        <f>AI19/1000</f>
        <v>107234.647</v>
      </c>
      <c r="AL19" s="3">
        <v>112826831</v>
      </c>
      <c r="AM19" s="3">
        <f>AL19/1000</f>
        <v>112826.831</v>
      </c>
      <c r="AO19" s="3">
        <v>119534398</v>
      </c>
      <c r="AP19" s="3">
        <f>AO19/1000</f>
        <v>119534.398</v>
      </c>
      <c r="AR19" s="3">
        <v>126686908</v>
      </c>
      <c r="AS19" s="3">
        <f>AR19/1000</f>
        <v>126686.908</v>
      </c>
      <c r="AU19" s="3">
        <v>135806760</v>
      </c>
      <c r="AV19" s="3">
        <f>AU19/1000</f>
        <v>135806.76</v>
      </c>
      <c r="AX19" s="3">
        <v>144998072</v>
      </c>
      <c r="AY19" s="3">
        <f>AX19/1000</f>
        <v>144998.072</v>
      </c>
      <c r="AZ19" s="3">
        <v>151107358</v>
      </c>
      <c r="BA19" s="3">
        <f>AZ19/1000</f>
        <v>151107.358</v>
      </c>
      <c r="BB19" s="3">
        <v>164164876</v>
      </c>
      <c r="BC19" s="3">
        <f>BB19/1000</f>
        <v>164164.876</v>
      </c>
      <c r="BD19" s="160">
        <v>169601292</v>
      </c>
      <c r="BE19" s="3">
        <f>BD19/1000</f>
        <v>169601.292</v>
      </c>
    </row>
    <row r="20" spans="1:57" ht="12.75">
      <c r="A20" s="1" t="s">
        <v>13</v>
      </c>
      <c r="B20" s="1">
        <v>48407</v>
      </c>
      <c r="C20" s="1">
        <v>50884</v>
      </c>
      <c r="D20" s="1">
        <v>53984</v>
      </c>
      <c r="E20" s="1">
        <v>56090</v>
      </c>
      <c r="F20" s="1">
        <v>58709</v>
      </c>
      <c r="G20" s="1">
        <v>62229</v>
      </c>
      <c r="H20" s="1">
        <v>65715.09</v>
      </c>
      <c r="I20" s="1">
        <v>64435.162</v>
      </c>
      <c r="J20" s="1">
        <v>69915.162</v>
      </c>
      <c r="K20" s="1">
        <v>68385.625</v>
      </c>
      <c r="L20" s="244">
        <f>(K20-J20)*100/J20</f>
        <v>-2.1877042922392094</v>
      </c>
      <c r="M20" s="244">
        <f>(K20-AC20)*100/AC20</f>
        <v>50.60590878058449</v>
      </c>
      <c r="N20" s="21">
        <v>15416</v>
      </c>
      <c r="O20" s="14">
        <v>15902</v>
      </c>
      <c r="P20" s="14">
        <v>17194</v>
      </c>
      <c r="Q20" s="14">
        <v>18827</v>
      </c>
      <c r="R20" s="14">
        <v>21695</v>
      </c>
      <c r="S20" s="14">
        <v>24000</v>
      </c>
      <c r="T20" s="14">
        <v>27100</v>
      </c>
      <c r="U20" s="14">
        <v>28900</v>
      </c>
      <c r="V20" s="14">
        <v>26971</v>
      </c>
      <c r="W20" s="14">
        <v>32165</v>
      </c>
      <c r="X20" s="14">
        <v>35039</v>
      </c>
      <c r="Y20" s="14">
        <v>36057</v>
      </c>
      <c r="Z20" s="14">
        <v>36945</v>
      </c>
      <c r="AA20" s="70">
        <v>39107</v>
      </c>
      <c r="AB20" s="70">
        <v>42407</v>
      </c>
      <c r="AC20" s="208">
        <v>45407</v>
      </c>
      <c r="AD20" s="208"/>
      <c r="AE20" s="1">
        <v>48407433</v>
      </c>
      <c r="AF20" s="3">
        <f>AE20/1000</f>
        <v>48407.433</v>
      </c>
      <c r="AI20" s="3">
        <v>50884355</v>
      </c>
      <c r="AJ20" s="3">
        <f>AI20/1000</f>
        <v>50884.355</v>
      </c>
      <c r="AL20" s="3">
        <v>53984355</v>
      </c>
      <c r="AM20" s="3">
        <f>AL20/1000</f>
        <v>53984.355</v>
      </c>
      <c r="AO20" s="3">
        <v>56089930</v>
      </c>
      <c r="AP20" s="3">
        <f>AO20/1000</f>
        <v>56089.93</v>
      </c>
      <c r="AR20" s="3">
        <v>58708711</v>
      </c>
      <c r="AS20" s="3">
        <f>AR20/1000</f>
        <v>58708.711</v>
      </c>
      <c r="AU20" s="3">
        <v>62229000</v>
      </c>
      <c r="AV20" s="3">
        <f>AU20/1000</f>
        <v>62229</v>
      </c>
      <c r="AX20" s="3">
        <v>65715090</v>
      </c>
      <c r="AY20" s="3">
        <f>AX20/1000</f>
        <v>65715.09</v>
      </c>
      <c r="AZ20" s="3">
        <v>64435162</v>
      </c>
      <c r="BA20" s="3">
        <f>AZ20/1000</f>
        <v>64435.162</v>
      </c>
      <c r="BB20" s="3">
        <v>69915162</v>
      </c>
      <c r="BC20" s="3">
        <f>BB20/1000</f>
        <v>69915.162</v>
      </c>
      <c r="BD20" s="160">
        <v>68385625</v>
      </c>
      <c r="BE20" s="3">
        <f>BD20/1000</f>
        <v>68385.625</v>
      </c>
    </row>
    <row r="21" spans="1:57" ht="12.75">
      <c r="A21" s="1" t="s">
        <v>14</v>
      </c>
      <c r="B21" s="1">
        <v>80960</v>
      </c>
      <c r="C21" s="1">
        <v>85681</v>
      </c>
      <c r="D21" s="1">
        <v>90831</v>
      </c>
      <c r="E21" s="1">
        <v>94944</v>
      </c>
      <c r="F21" s="1">
        <v>101794</v>
      </c>
      <c r="G21" s="1">
        <v>112217</v>
      </c>
      <c r="H21" s="1">
        <v>124006</v>
      </c>
      <c r="I21" s="1">
        <v>135856</v>
      </c>
      <c r="J21" s="1">
        <v>138466.10001</v>
      </c>
      <c r="K21" s="1">
        <v>145093.2</v>
      </c>
      <c r="L21" s="244">
        <f>(K21-J21)*100/J21</f>
        <v>4.786081206534602</v>
      </c>
      <c r="M21" s="244">
        <f>(K21-AC21)*100/AC21</f>
        <v>90.37854434282866</v>
      </c>
      <c r="N21" s="21">
        <v>22435</v>
      </c>
      <c r="O21" s="14">
        <v>24789</v>
      </c>
      <c r="P21" s="14">
        <v>27800</v>
      </c>
      <c r="Q21" s="14">
        <v>30243</v>
      </c>
      <c r="R21" s="14">
        <v>35314</v>
      </c>
      <c r="S21" s="14">
        <v>43163</v>
      </c>
      <c r="T21" s="14">
        <v>47580</v>
      </c>
      <c r="U21" s="14">
        <v>47393</v>
      </c>
      <c r="V21" s="14">
        <v>48162</v>
      </c>
      <c r="W21" s="14">
        <v>54068</v>
      </c>
      <c r="X21" s="14">
        <v>59050</v>
      </c>
      <c r="Y21" s="14">
        <v>59442</v>
      </c>
      <c r="Z21" s="14">
        <v>62828</v>
      </c>
      <c r="AA21" s="70">
        <v>65412</v>
      </c>
      <c r="AB21" s="70">
        <v>69459</v>
      </c>
      <c r="AC21" s="208">
        <v>76213</v>
      </c>
      <c r="AD21" s="208"/>
      <c r="AE21" s="1">
        <v>80960100</v>
      </c>
      <c r="AF21" s="3">
        <f>AE21/1000</f>
        <v>80960.1</v>
      </c>
      <c r="AI21" s="3">
        <v>85680500</v>
      </c>
      <c r="AJ21" s="3">
        <f>AI21/1000</f>
        <v>85680.5</v>
      </c>
      <c r="AL21" s="3">
        <v>90830500</v>
      </c>
      <c r="AM21" s="3">
        <f>AL21/1000</f>
        <v>90830.5</v>
      </c>
      <c r="AO21" s="3">
        <v>94944200</v>
      </c>
      <c r="AP21" s="3">
        <f>AO21/1000</f>
        <v>94944.2</v>
      </c>
      <c r="AR21" s="3">
        <v>101794000</v>
      </c>
      <c r="AS21" s="3">
        <f>AR21/1000</f>
        <v>101794</v>
      </c>
      <c r="AU21" s="3">
        <v>112217000</v>
      </c>
      <c r="AV21" s="3">
        <f>AU21/1000</f>
        <v>112217</v>
      </c>
      <c r="AX21" s="3">
        <v>124006000</v>
      </c>
      <c r="AY21" s="3">
        <f>AX21/1000</f>
        <v>124006</v>
      </c>
      <c r="AZ21" s="3">
        <v>135856000</v>
      </c>
      <c r="BA21" s="3">
        <f>AZ21/1000</f>
        <v>135856</v>
      </c>
      <c r="BB21" s="3">
        <v>138466100.01</v>
      </c>
      <c r="BC21" s="3">
        <f>BB21/1000</f>
        <v>138466.10001</v>
      </c>
      <c r="BD21" s="160">
        <v>145093200</v>
      </c>
      <c r="BE21" s="3">
        <f>BD21/1000</f>
        <v>145093.2</v>
      </c>
    </row>
    <row r="22" spans="1:57" ht="12.75">
      <c r="A22" s="1" t="s">
        <v>15</v>
      </c>
      <c r="B22" s="1">
        <v>14352</v>
      </c>
      <c r="C22" s="1">
        <v>14358</v>
      </c>
      <c r="D22" s="1">
        <v>15070</v>
      </c>
      <c r="E22" s="1">
        <v>15069</v>
      </c>
      <c r="F22" s="1">
        <v>15220</v>
      </c>
      <c r="G22" s="1">
        <v>15423</v>
      </c>
      <c r="H22" s="1">
        <v>16344.83</v>
      </c>
      <c r="I22" s="1">
        <v>16669.686</v>
      </c>
      <c r="J22" s="1">
        <v>17473.3</v>
      </c>
      <c r="K22" s="1">
        <v>17034.817</v>
      </c>
      <c r="L22" s="244">
        <f>(K22-J22)*100/J22</f>
        <v>-2.509445840224801</v>
      </c>
      <c r="M22" s="244">
        <f>(K22-AC22)*100/AC22</f>
        <v>23.745583321226203</v>
      </c>
      <c r="N22" s="21">
        <v>6592</v>
      </c>
      <c r="O22" s="14">
        <v>6742</v>
      </c>
      <c r="P22" s="14">
        <v>7100</v>
      </c>
      <c r="Q22" s="14">
        <v>7475</v>
      </c>
      <c r="R22" s="14">
        <v>7875</v>
      </c>
      <c r="S22" s="14">
        <v>8575</v>
      </c>
      <c r="T22" s="14">
        <v>9075</v>
      </c>
      <c r="U22" s="14">
        <v>8667</v>
      </c>
      <c r="V22" s="14">
        <v>8428</v>
      </c>
      <c r="W22" s="14">
        <v>9832</v>
      </c>
      <c r="X22" s="14">
        <v>10671</v>
      </c>
      <c r="Y22" s="14">
        <v>11322</v>
      </c>
      <c r="Z22" s="14">
        <v>12322</v>
      </c>
      <c r="AA22" s="70">
        <v>12866</v>
      </c>
      <c r="AB22" s="70">
        <v>12866</v>
      </c>
      <c r="AC22" s="208">
        <v>13766</v>
      </c>
      <c r="AD22" s="208"/>
      <c r="AE22" s="1">
        <v>14352351</v>
      </c>
      <c r="AF22" s="3">
        <f>AE22/1000</f>
        <v>14352.351</v>
      </c>
      <c r="AI22" s="3">
        <v>14358372</v>
      </c>
      <c r="AJ22" s="3">
        <f>AI22/1000</f>
        <v>14358.372</v>
      </c>
      <c r="AL22" s="3">
        <v>15069791</v>
      </c>
      <c r="AM22" s="3">
        <f>AL22/1000</f>
        <v>15069.791</v>
      </c>
      <c r="AO22" s="3">
        <v>15068779</v>
      </c>
      <c r="AP22" s="3">
        <f>AO22/1000</f>
        <v>15068.779</v>
      </c>
      <c r="AR22" s="3">
        <v>15220189</v>
      </c>
      <c r="AS22" s="3">
        <f>AR22/1000</f>
        <v>15220.189</v>
      </c>
      <c r="AU22" s="3">
        <v>15422902</v>
      </c>
      <c r="AV22" s="3">
        <f>AU22/1000</f>
        <v>15422.902</v>
      </c>
      <c r="AX22" s="3">
        <v>16344830</v>
      </c>
      <c r="AY22" s="3">
        <f>AX22/1000</f>
        <v>16344.83</v>
      </c>
      <c r="AZ22" s="3">
        <v>16669686</v>
      </c>
      <c r="BA22" s="3">
        <f>AZ22/1000</f>
        <v>16669.686</v>
      </c>
      <c r="BB22" s="3">
        <v>17473300</v>
      </c>
      <c r="BC22" s="3">
        <f>BB22/1000</f>
        <v>17473.3</v>
      </c>
      <c r="BD22" s="160">
        <v>17034817</v>
      </c>
      <c r="BE22" s="3">
        <f>BD22/1000</f>
        <v>17034.817</v>
      </c>
    </row>
    <row r="23" spans="12:56" ht="12.75">
      <c r="L23" s="244"/>
      <c r="M23" s="244"/>
      <c r="N23" s="2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70"/>
      <c r="AB23" s="70"/>
      <c r="AC23" s="208"/>
      <c r="AD23" s="208"/>
      <c r="AE23" s="1"/>
      <c r="BD23" s="278"/>
    </row>
    <row r="24" spans="1:57" ht="12.75">
      <c r="A24" s="1" t="s">
        <v>16</v>
      </c>
      <c r="B24" s="1">
        <v>137920</v>
      </c>
      <c r="C24" s="1">
        <v>149616</v>
      </c>
      <c r="D24" s="1">
        <v>157583</v>
      </c>
      <c r="E24" s="1">
        <v>169944</v>
      </c>
      <c r="F24" s="1">
        <v>175506</v>
      </c>
      <c r="G24" s="1">
        <v>188695</v>
      </c>
      <c r="H24" s="1">
        <v>205597.12906</v>
      </c>
      <c r="I24" s="1">
        <v>228388.00723</v>
      </c>
      <c r="J24" s="1">
        <v>238250.80899000002</v>
      </c>
      <c r="K24" s="1">
        <v>221957.265</v>
      </c>
      <c r="L24" s="244">
        <f>(K24-J24)*100/J24</f>
        <v>-6.838820006140624</v>
      </c>
      <c r="M24" s="244">
        <f>(K24-AC24)*100/AC24</f>
        <v>79.54076036400406</v>
      </c>
      <c r="N24" s="21">
        <v>36804</v>
      </c>
      <c r="O24" s="14">
        <v>39349</v>
      </c>
      <c r="P24" s="14">
        <v>43737</v>
      </c>
      <c r="Q24" s="14">
        <v>47617</v>
      </c>
      <c r="R24" s="14">
        <v>55293</v>
      </c>
      <c r="S24" s="14">
        <v>63871</v>
      </c>
      <c r="T24" s="14">
        <v>70925</v>
      </c>
      <c r="U24" s="14">
        <v>75148</v>
      </c>
      <c r="V24" s="14">
        <v>73860</v>
      </c>
      <c r="W24" s="14">
        <v>84043</v>
      </c>
      <c r="X24" s="14">
        <v>93205</v>
      </c>
      <c r="Y24" s="14">
        <v>96790</v>
      </c>
      <c r="Z24" s="14">
        <v>100031</v>
      </c>
      <c r="AA24" s="70">
        <v>107305</v>
      </c>
      <c r="AB24" s="70">
        <v>113550</v>
      </c>
      <c r="AC24" s="208">
        <v>123625</v>
      </c>
      <c r="AD24" s="208"/>
      <c r="AE24" s="1">
        <v>137919649</v>
      </c>
      <c r="AF24" s="3">
        <f>AE24/1000</f>
        <v>137919.649</v>
      </c>
      <c r="AI24" s="3">
        <v>149616400</v>
      </c>
      <c r="AJ24" s="3">
        <f>AI24/1000</f>
        <v>149616.4</v>
      </c>
      <c r="AL24" s="3">
        <v>157583145</v>
      </c>
      <c r="AM24" s="3">
        <f>AL24/1000</f>
        <v>157583.145</v>
      </c>
      <c r="AO24" s="3">
        <v>169943808</v>
      </c>
      <c r="AP24" s="3">
        <f>AO24/1000</f>
        <v>169943.808</v>
      </c>
      <c r="AR24" s="3">
        <v>175505761</v>
      </c>
      <c r="AS24" s="3">
        <f>AR24/1000</f>
        <v>175505.761</v>
      </c>
      <c r="AU24" s="3">
        <v>188694908</v>
      </c>
      <c r="AV24" s="3">
        <f>AU24/1000</f>
        <v>188694.908</v>
      </c>
      <c r="AX24" s="3">
        <v>205597129.06</v>
      </c>
      <c r="AY24" s="3">
        <f>AX24/1000</f>
        <v>205597.12906</v>
      </c>
      <c r="AZ24" s="3">
        <v>228388007.23</v>
      </c>
      <c r="BA24" s="3">
        <f>AZ24/1000</f>
        <v>228388.00723</v>
      </c>
      <c r="BB24" s="3">
        <v>238250808.99</v>
      </c>
      <c r="BC24" s="3">
        <f>BB24/1000</f>
        <v>238250.80899000002</v>
      </c>
      <c r="BD24" s="278">
        <v>221957265</v>
      </c>
      <c r="BE24" s="3">
        <f>BD24/1000</f>
        <v>221957.265</v>
      </c>
    </row>
    <row r="25" spans="1:57" ht="12.75">
      <c r="A25" s="1" t="s">
        <v>17</v>
      </c>
      <c r="B25" s="1">
        <v>14413</v>
      </c>
      <c r="C25" s="1">
        <v>15118</v>
      </c>
      <c r="D25" s="1">
        <v>15680</v>
      </c>
      <c r="E25" s="1">
        <v>17590</v>
      </c>
      <c r="F25" s="1">
        <v>18375</v>
      </c>
      <c r="G25" s="1">
        <v>18830</v>
      </c>
      <c r="H25" s="1">
        <v>19161.10238</v>
      </c>
      <c r="I25" s="1">
        <v>21900.167980000002</v>
      </c>
      <c r="J25" s="1">
        <v>22773.73486</v>
      </c>
      <c r="K25" s="1">
        <v>23292.92914</v>
      </c>
      <c r="L25" s="244">
        <f>(K25-J25)*100/J25</f>
        <v>2.2797941716267074</v>
      </c>
      <c r="M25" s="244">
        <f>(K25-AC25)*100/AC25</f>
        <v>72.06862037379035</v>
      </c>
      <c r="N25" s="21">
        <v>5223</v>
      </c>
      <c r="O25" s="14">
        <v>5744</v>
      </c>
      <c r="P25" s="14">
        <v>6152</v>
      </c>
      <c r="Q25" s="14">
        <v>6697</v>
      </c>
      <c r="R25" s="14">
        <v>7479</v>
      </c>
      <c r="S25" s="14">
        <v>8086</v>
      </c>
      <c r="T25" s="14">
        <v>9050</v>
      </c>
      <c r="U25" s="14">
        <v>8829</v>
      </c>
      <c r="V25" s="14">
        <v>8796</v>
      </c>
      <c r="W25" s="14">
        <v>10432</v>
      </c>
      <c r="X25" s="14">
        <v>10649</v>
      </c>
      <c r="Y25" s="14">
        <v>11382</v>
      </c>
      <c r="Z25" s="14">
        <v>11830</v>
      </c>
      <c r="AA25" s="70">
        <v>12068</v>
      </c>
      <c r="AB25" s="70">
        <v>12772</v>
      </c>
      <c r="AC25" s="208">
        <v>13537</v>
      </c>
      <c r="AD25" s="208"/>
      <c r="AE25" s="1">
        <v>14413213</v>
      </c>
      <c r="AF25" s="3">
        <f>AE25/1000</f>
        <v>14413.213</v>
      </c>
      <c r="AI25" s="3">
        <v>15118404</v>
      </c>
      <c r="AJ25" s="3">
        <f>AI25/1000</f>
        <v>15118.404</v>
      </c>
      <c r="AL25" s="3">
        <v>15679901</v>
      </c>
      <c r="AM25" s="3">
        <f>AL25/1000</f>
        <v>15679.901</v>
      </c>
      <c r="AO25" s="3">
        <v>17590100</v>
      </c>
      <c r="AP25" s="3">
        <f>AO25/1000</f>
        <v>17590.1</v>
      </c>
      <c r="AR25" s="3">
        <v>18375339</v>
      </c>
      <c r="AS25" s="3">
        <f>AR25/1000</f>
        <v>18375.339</v>
      </c>
      <c r="AU25" s="3">
        <v>18830158</v>
      </c>
      <c r="AV25" s="3">
        <f>AU25/1000</f>
        <v>18830.158</v>
      </c>
      <c r="AX25" s="3">
        <v>19161102.38</v>
      </c>
      <c r="AY25" s="3">
        <f>AX25/1000</f>
        <v>19161.10238</v>
      </c>
      <c r="AZ25" s="3">
        <v>21900167.98</v>
      </c>
      <c r="BA25" s="3">
        <f>AZ25/1000</f>
        <v>21900.167980000002</v>
      </c>
      <c r="BB25" s="3">
        <v>22773734.86</v>
      </c>
      <c r="BC25" s="3">
        <f>BB25/1000</f>
        <v>22773.73486</v>
      </c>
      <c r="BD25" s="278">
        <v>23292929.14</v>
      </c>
      <c r="BE25" s="3">
        <f>BD25/1000</f>
        <v>23292.92914</v>
      </c>
    </row>
    <row r="26" spans="1:57" ht="12.75">
      <c r="A26" s="1" t="s">
        <v>18</v>
      </c>
      <c r="B26" s="1">
        <v>128102</v>
      </c>
      <c r="C26" s="1">
        <v>138335</v>
      </c>
      <c r="D26" s="1">
        <v>146051</v>
      </c>
      <c r="E26" s="1">
        <v>148151</v>
      </c>
      <c r="F26" s="1">
        <v>154047</v>
      </c>
      <c r="G26" s="1">
        <v>175415</v>
      </c>
      <c r="H26" s="1">
        <v>189414.8</v>
      </c>
      <c r="I26" s="1">
        <v>199614.8</v>
      </c>
      <c r="J26" s="1">
        <v>206978.734</v>
      </c>
      <c r="K26" s="1">
        <v>210414.8</v>
      </c>
      <c r="L26" s="244">
        <f>(K26-J26)*100/J26</f>
        <v>1.6601058155085593</v>
      </c>
      <c r="M26" s="244">
        <f>(K26-AC26)*100/AC26</f>
        <v>76.49287032377116</v>
      </c>
      <c r="N26" s="21">
        <v>39424</v>
      </c>
      <c r="O26" s="14">
        <v>41395</v>
      </c>
      <c r="P26" s="14">
        <v>44095</v>
      </c>
      <c r="Q26" s="14">
        <v>48781</v>
      </c>
      <c r="R26" s="14">
        <v>53982</v>
      </c>
      <c r="S26" s="14">
        <v>61348</v>
      </c>
      <c r="T26" s="14">
        <v>69881</v>
      </c>
      <c r="U26" s="14">
        <v>72176</v>
      </c>
      <c r="V26" s="14">
        <v>75363</v>
      </c>
      <c r="W26" s="14">
        <v>87500</v>
      </c>
      <c r="X26" s="14">
        <v>94418</v>
      </c>
      <c r="Y26" s="14">
        <v>101054</v>
      </c>
      <c r="Z26" s="14">
        <v>105082</v>
      </c>
      <c r="AA26" s="70">
        <v>109844</v>
      </c>
      <c r="AB26" s="70">
        <v>113800</v>
      </c>
      <c r="AC26" s="208">
        <v>119220</v>
      </c>
      <c r="AD26" s="208"/>
      <c r="AE26" s="1">
        <v>128102196</v>
      </c>
      <c r="AF26" s="3">
        <f>AE26/1000</f>
        <v>128102.196</v>
      </c>
      <c r="AI26" s="3">
        <v>138335279</v>
      </c>
      <c r="AJ26" s="3">
        <f>AI26/1000</f>
        <v>138335.279</v>
      </c>
      <c r="AL26" s="3">
        <v>146051098</v>
      </c>
      <c r="AM26" s="3">
        <f>AL26/1000</f>
        <v>146051.098</v>
      </c>
      <c r="AO26" s="3">
        <v>148150510</v>
      </c>
      <c r="AP26" s="3">
        <f>AO26/1000</f>
        <v>148150.51</v>
      </c>
      <c r="AR26" s="3">
        <v>154047408</v>
      </c>
      <c r="AS26" s="3">
        <f>AR26/1000</f>
        <v>154047.408</v>
      </c>
      <c r="AU26" s="3">
        <v>175414800</v>
      </c>
      <c r="AV26" s="3">
        <f>AU26/1000</f>
        <v>175414.8</v>
      </c>
      <c r="AX26" s="3">
        <v>189414800</v>
      </c>
      <c r="AY26" s="3">
        <f>AX26/1000</f>
        <v>189414.8</v>
      </c>
      <c r="AZ26" s="3">
        <v>199614800</v>
      </c>
      <c r="BA26" s="3">
        <f>AZ26/1000</f>
        <v>199614.8</v>
      </c>
      <c r="BB26" s="3">
        <v>206978734</v>
      </c>
      <c r="BC26" s="3">
        <f>BB26/1000</f>
        <v>206978.734</v>
      </c>
      <c r="BD26" s="278">
        <v>210414800</v>
      </c>
      <c r="BE26" s="3">
        <f>BD26/1000</f>
        <v>210414.8</v>
      </c>
    </row>
    <row r="27" spans="1:57" ht="12.75">
      <c r="A27" s="1" t="s">
        <v>19</v>
      </c>
      <c r="B27" s="1">
        <v>248277</v>
      </c>
      <c r="C27" s="1">
        <v>274540</v>
      </c>
      <c r="D27" s="1">
        <v>292401</v>
      </c>
      <c r="E27" s="1">
        <v>310590</v>
      </c>
      <c r="F27" s="1">
        <v>334590</v>
      </c>
      <c r="G27" s="1">
        <v>362590</v>
      </c>
      <c r="H27" s="1">
        <v>393710.89</v>
      </c>
      <c r="I27" s="1">
        <v>427176.316</v>
      </c>
      <c r="J27" s="1">
        <v>454794.61</v>
      </c>
      <c r="K27" s="1">
        <v>457560.424</v>
      </c>
      <c r="L27" s="244">
        <f>(K27-J27)*100/J27</f>
        <v>0.608145729783388</v>
      </c>
      <c r="M27" s="244">
        <f>(K27-AC27)*100/AC27</f>
        <v>107.22845289855071</v>
      </c>
      <c r="N27" s="21">
        <v>61338</v>
      </c>
      <c r="O27" s="14">
        <v>69432</v>
      </c>
      <c r="P27" s="14">
        <v>78539</v>
      </c>
      <c r="Q27" s="14">
        <v>87763</v>
      </c>
      <c r="R27" s="14">
        <v>101938</v>
      </c>
      <c r="S27" s="14">
        <v>120731</v>
      </c>
      <c r="T27" s="14">
        <v>138467</v>
      </c>
      <c r="U27" s="14">
        <v>133648</v>
      </c>
      <c r="V27" s="14">
        <v>137530</v>
      </c>
      <c r="W27" s="14">
        <v>151842</v>
      </c>
      <c r="X27" s="14">
        <v>162340</v>
      </c>
      <c r="Y27" s="14">
        <v>170840</v>
      </c>
      <c r="Z27" s="14">
        <v>177425</v>
      </c>
      <c r="AA27" s="70">
        <v>184605</v>
      </c>
      <c r="AB27" s="70">
        <v>199129</v>
      </c>
      <c r="AC27" s="208">
        <v>220800</v>
      </c>
      <c r="AD27" s="208"/>
      <c r="AE27" s="1">
        <v>248277270</v>
      </c>
      <c r="AF27" s="3">
        <f>AE27/1000</f>
        <v>248277.27</v>
      </c>
      <c r="AI27" s="3">
        <v>274540340</v>
      </c>
      <c r="AJ27" s="3">
        <f>AI27/1000</f>
        <v>274540.34</v>
      </c>
      <c r="AL27" s="3">
        <v>292400940</v>
      </c>
      <c r="AM27" s="3">
        <f>AL27/1000</f>
        <v>292400.94</v>
      </c>
      <c r="AO27" s="3">
        <v>310590015</v>
      </c>
      <c r="AP27" s="3">
        <f>AO27/1000</f>
        <v>310590.015</v>
      </c>
      <c r="AR27" s="3">
        <v>334589915</v>
      </c>
      <c r="AS27" s="3">
        <f>AR27/1000</f>
        <v>334589.915</v>
      </c>
      <c r="AU27" s="3">
        <v>362590015</v>
      </c>
      <c r="AV27" s="3">
        <f>AU27/1000</f>
        <v>362590.015</v>
      </c>
      <c r="AX27" s="3">
        <v>393710890</v>
      </c>
      <c r="AY27" s="3">
        <f>AX27/1000</f>
        <v>393710.89</v>
      </c>
      <c r="AZ27" s="3">
        <v>427176316</v>
      </c>
      <c r="BA27" s="3">
        <f>AZ27/1000</f>
        <v>427176.316</v>
      </c>
      <c r="BB27" s="3">
        <v>454794610</v>
      </c>
      <c r="BC27" s="3">
        <f>BB27/1000</f>
        <v>454794.61</v>
      </c>
      <c r="BD27" s="278">
        <v>457560424</v>
      </c>
      <c r="BE27" s="3">
        <f>BD27/1000</f>
        <v>457560.424</v>
      </c>
    </row>
    <row r="28" spans="1:57" ht="12.75">
      <c r="A28" s="1" t="s">
        <v>20</v>
      </c>
      <c r="B28" s="1">
        <v>12492</v>
      </c>
      <c r="C28" s="1">
        <v>13484</v>
      </c>
      <c r="D28" s="1">
        <v>13437</v>
      </c>
      <c r="E28" s="1">
        <v>13125</v>
      </c>
      <c r="F28" s="1">
        <v>13742</v>
      </c>
      <c r="G28" s="1">
        <v>14276</v>
      </c>
      <c r="H28" s="1">
        <v>15174.8</v>
      </c>
      <c r="I28" s="1">
        <v>16217</v>
      </c>
      <c r="J28" s="1">
        <v>17217</v>
      </c>
      <c r="K28" s="1">
        <v>17194.706</v>
      </c>
      <c r="L28" s="244">
        <f>(K28-J28)*100/J28</f>
        <v>-0.12948829645119178</v>
      </c>
      <c r="M28" s="244">
        <f>(K28-AC28)*100/AC28</f>
        <v>49.039663690734145</v>
      </c>
      <c r="N28" s="21">
        <v>3995</v>
      </c>
      <c r="O28" s="14">
        <v>4356</v>
      </c>
      <c r="P28" s="14">
        <v>4956</v>
      </c>
      <c r="Q28" s="14">
        <v>5211</v>
      </c>
      <c r="R28" s="14">
        <v>6611</v>
      </c>
      <c r="S28" s="14">
        <v>7126</v>
      </c>
      <c r="T28" s="14">
        <v>7397</v>
      </c>
      <c r="U28" s="14">
        <v>7139</v>
      </c>
      <c r="V28" s="14">
        <v>7542</v>
      </c>
      <c r="W28" s="14">
        <v>9033</v>
      </c>
      <c r="X28" s="207">
        <v>9874</v>
      </c>
      <c r="Y28" s="14">
        <v>10110</v>
      </c>
      <c r="Z28" s="14">
        <v>10368</v>
      </c>
      <c r="AA28" s="70">
        <v>10790</v>
      </c>
      <c r="AB28" s="70">
        <v>11090</v>
      </c>
      <c r="AC28" s="208">
        <v>11537</v>
      </c>
      <c r="AD28" s="208"/>
      <c r="AE28" s="1">
        <v>12491694</v>
      </c>
      <c r="AF28" s="3">
        <f>AE28/1000</f>
        <v>12491.694</v>
      </c>
      <c r="AI28" s="3">
        <v>13484252</v>
      </c>
      <c r="AJ28" s="3">
        <f>AI28/1000</f>
        <v>13484.252</v>
      </c>
      <c r="AL28" s="3">
        <v>13437085</v>
      </c>
      <c r="AM28" s="3">
        <f>AL28/1000</f>
        <v>13437.085</v>
      </c>
      <c r="AO28" s="3">
        <v>13124906</v>
      </c>
      <c r="AP28" s="3">
        <f>AO28/1000</f>
        <v>13124.906</v>
      </c>
      <c r="AR28" s="3">
        <v>13741730</v>
      </c>
      <c r="AS28" s="3">
        <f>AR28/1000</f>
        <v>13741.73</v>
      </c>
      <c r="AU28" s="3">
        <v>14275613</v>
      </c>
      <c r="AV28" s="3">
        <f>AU28/1000</f>
        <v>14275.613</v>
      </c>
      <c r="AX28" s="3">
        <v>15174800</v>
      </c>
      <c r="AY28" s="3">
        <f>AX28/1000</f>
        <v>15174.8</v>
      </c>
      <c r="AZ28" s="3">
        <v>16217000</v>
      </c>
      <c r="BA28" s="3">
        <f>AZ28/1000</f>
        <v>16217</v>
      </c>
      <c r="BB28" s="3">
        <v>17217000</v>
      </c>
      <c r="BC28" s="3">
        <f>BB28/1000</f>
        <v>17217</v>
      </c>
      <c r="BD28" s="278">
        <v>17194706</v>
      </c>
      <c r="BE28" s="3">
        <f>BD28/1000</f>
        <v>17194.706</v>
      </c>
    </row>
    <row r="29" spans="12:56" ht="12.75">
      <c r="L29" s="244"/>
      <c r="M29" s="244"/>
      <c r="N29" s="21"/>
      <c r="O29" s="14"/>
      <c r="P29" s="14"/>
      <c r="Q29" s="14"/>
      <c r="R29" s="14"/>
      <c r="S29" s="14"/>
      <c r="T29" s="14"/>
      <c r="U29" s="14"/>
      <c r="V29" s="14"/>
      <c r="W29" s="14"/>
      <c r="X29" s="206"/>
      <c r="Y29" s="14"/>
      <c r="Z29" s="14"/>
      <c r="AA29" s="70"/>
      <c r="AB29" s="70"/>
      <c r="AC29" s="208"/>
      <c r="AD29" s="208"/>
      <c r="AE29" s="1"/>
      <c r="BD29" s="278"/>
    </row>
    <row r="30" spans="1:57" ht="12.75">
      <c r="A30" s="1" t="s">
        <v>21</v>
      </c>
      <c r="B30" s="1">
        <v>959722</v>
      </c>
      <c r="C30" s="1">
        <v>1030003</v>
      </c>
      <c r="D30" s="1">
        <v>1065185</v>
      </c>
      <c r="E30" s="1">
        <v>1132070</v>
      </c>
      <c r="F30" s="1">
        <v>1210596</v>
      </c>
      <c r="G30" s="1">
        <v>1283070</v>
      </c>
      <c r="H30" s="1">
        <v>1381701.4148900001</v>
      </c>
      <c r="I30" s="1">
        <v>1449834.862</v>
      </c>
      <c r="J30" s="1">
        <v>1513763.86048</v>
      </c>
      <c r="K30" s="1">
        <v>1428500.96977</v>
      </c>
      <c r="L30" s="244">
        <f>(K30-J30)*100/J30</f>
        <v>-5.632509332265595</v>
      </c>
      <c r="M30" s="244">
        <f>(K30-AC30)*100/AC30</f>
        <v>63.783419622352504</v>
      </c>
      <c r="N30" s="21">
        <v>330035</v>
      </c>
      <c r="O30" s="14">
        <v>361632</v>
      </c>
      <c r="P30" s="14">
        <v>398053</v>
      </c>
      <c r="Q30" s="14">
        <v>434583</v>
      </c>
      <c r="R30" s="14">
        <v>488064</v>
      </c>
      <c r="S30" s="14">
        <v>545378</v>
      </c>
      <c r="T30" s="14">
        <v>601408</v>
      </c>
      <c r="U30" s="14">
        <v>603605</v>
      </c>
      <c r="V30" s="14">
        <v>622469</v>
      </c>
      <c r="W30" s="14">
        <v>666176</v>
      </c>
      <c r="X30" s="206">
        <v>694727</v>
      </c>
      <c r="Y30" s="14">
        <v>718687</v>
      </c>
      <c r="Z30" s="14">
        <v>740909</v>
      </c>
      <c r="AA30" s="70">
        <v>775813</v>
      </c>
      <c r="AB30" s="70">
        <v>821457</v>
      </c>
      <c r="AC30" s="208">
        <v>872189</v>
      </c>
      <c r="AD30" s="208"/>
      <c r="AE30" s="1">
        <v>959722321</v>
      </c>
      <c r="AF30" s="3">
        <f>AE30/1000</f>
        <v>959722.321</v>
      </c>
      <c r="AI30" s="3">
        <v>1030002553</v>
      </c>
      <c r="AJ30" s="3">
        <f>AI30/1000</f>
        <v>1030002.553</v>
      </c>
      <c r="AL30" s="3">
        <v>1065185268</v>
      </c>
      <c r="AM30" s="3">
        <f>AL30/1000</f>
        <v>1065185.268</v>
      </c>
      <c r="AO30" s="3">
        <v>1132069738</v>
      </c>
      <c r="AP30" s="3">
        <f>AO30/1000</f>
        <v>1132069.738</v>
      </c>
      <c r="AR30" s="3">
        <v>1210596321</v>
      </c>
      <c r="AS30" s="3">
        <f>AR30/1000</f>
        <v>1210596.321</v>
      </c>
      <c r="AU30" s="3">
        <v>1283070185</v>
      </c>
      <c r="AV30" s="3">
        <f>AU30/1000</f>
        <v>1283070.185</v>
      </c>
      <c r="AX30" s="3">
        <v>1381701414.89</v>
      </c>
      <c r="AY30" s="3">
        <f>AX30/1000</f>
        <v>1381701.4148900001</v>
      </c>
      <c r="AZ30" s="3">
        <v>1449834862</v>
      </c>
      <c r="BA30" s="3">
        <f>AZ30/1000</f>
        <v>1449834.862</v>
      </c>
      <c r="BB30" s="3">
        <v>1513763860.48</v>
      </c>
      <c r="BC30" s="3">
        <f>BB30/1000</f>
        <v>1513763.86048</v>
      </c>
      <c r="BD30" s="278">
        <v>1428500969.77</v>
      </c>
      <c r="BE30" s="3">
        <f>BD30/1000</f>
        <v>1428500.96977</v>
      </c>
    </row>
    <row r="31" spans="1:57" ht="12.75">
      <c r="A31" s="1" t="s">
        <v>22</v>
      </c>
      <c r="B31" s="1">
        <v>453301</v>
      </c>
      <c r="C31" s="1">
        <v>468356</v>
      </c>
      <c r="D31" s="1">
        <v>500379</v>
      </c>
      <c r="E31" s="1">
        <v>527648</v>
      </c>
      <c r="F31" s="1">
        <v>548084</v>
      </c>
      <c r="G31" s="1">
        <v>522227</v>
      </c>
      <c r="H31" s="1">
        <v>591196.3343999999</v>
      </c>
      <c r="I31" s="1">
        <v>584463.22618</v>
      </c>
      <c r="J31" s="1">
        <v>594493.2118099999</v>
      </c>
      <c r="K31" s="1">
        <v>616311.9760499999</v>
      </c>
      <c r="L31" s="244">
        <f>(K31-J31)*100/J31</f>
        <v>3.670145227322348</v>
      </c>
      <c r="M31" s="244">
        <f>(K31-AC31)*100/AC31</f>
        <v>40.83428951247099</v>
      </c>
      <c r="N31" s="21">
        <v>191107</v>
      </c>
      <c r="O31" s="14">
        <v>209385</v>
      </c>
      <c r="P31" s="14">
        <v>227674</v>
      </c>
      <c r="Q31" s="14">
        <v>253843</v>
      </c>
      <c r="R31" s="14">
        <v>265954</v>
      </c>
      <c r="S31" s="14">
        <v>294038</v>
      </c>
      <c r="T31" s="14">
        <v>319301</v>
      </c>
      <c r="U31" s="14">
        <v>307939</v>
      </c>
      <c r="V31" s="14">
        <v>315662</v>
      </c>
      <c r="W31" s="14">
        <v>349164</v>
      </c>
      <c r="X31" s="206">
        <v>376988</v>
      </c>
      <c r="Y31" s="14">
        <v>385470</v>
      </c>
      <c r="Z31" s="14">
        <v>398605</v>
      </c>
      <c r="AA31" s="70">
        <v>408086</v>
      </c>
      <c r="AB31" s="70">
        <v>422402</v>
      </c>
      <c r="AC31" s="208">
        <v>437615</v>
      </c>
      <c r="AD31" s="208"/>
      <c r="AE31" s="1">
        <v>453301306</v>
      </c>
      <c r="AF31" s="3">
        <f>AE31/1000</f>
        <v>453301.306</v>
      </c>
      <c r="AI31" s="3">
        <v>468355887</v>
      </c>
      <c r="AJ31" s="3">
        <f>AI31/1000</f>
        <v>468355.887</v>
      </c>
      <c r="AL31" s="3">
        <v>500378852</v>
      </c>
      <c r="AM31" s="3">
        <f>AL31/1000</f>
        <v>500378.852</v>
      </c>
      <c r="AO31" s="3">
        <v>527648158</v>
      </c>
      <c r="AP31" s="3">
        <f>AO31/1000</f>
        <v>527648.158</v>
      </c>
      <c r="AR31" s="3">
        <v>548083713</v>
      </c>
      <c r="AS31" s="3">
        <f>AR31/1000</f>
        <v>548083.713</v>
      </c>
      <c r="AU31" s="3">
        <v>522227299</v>
      </c>
      <c r="AV31" s="3">
        <f>AU31/1000</f>
        <v>522227.299</v>
      </c>
      <c r="AX31" s="3">
        <v>591196334.4</v>
      </c>
      <c r="AY31" s="3">
        <f>AX31/1000</f>
        <v>591196.3343999999</v>
      </c>
      <c r="AZ31" s="3">
        <v>584463226.18</v>
      </c>
      <c r="BA31" s="3">
        <f>AZ31/1000</f>
        <v>584463.22618</v>
      </c>
      <c r="BB31" s="3">
        <v>594493211.81</v>
      </c>
      <c r="BC31" s="3">
        <f>BB31/1000</f>
        <v>594493.2118099999</v>
      </c>
      <c r="BD31" s="278">
        <v>616311976.05</v>
      </c>
      <c r="BE31" s="3">
        <f>BD31/1000</f>
        <v>616311.9760499999</v>
      </c>
    </row>
    <row r="32" spans="1:57" ht="12.75">
      <c r="A32" s="1" t="s">
        <v>23</v>
      </c>
      <c r="B32" s="1">
        <v>29258</v>
      </c>
      <c r="C32" s="1">
        <v>30978</v>
      </c>
      <c r="D32" s="1">
        <v>32757</v>
      </c>
      <c r="E32" s="1">
        <v>35007</v>
      </c>
      <c r="F32" s="1">
        <v>36587</v>
      </c>
      <c r="G32" s="1">
        <v>38174</v>
      </c>
      <c r="H32" s="1">
        <v>39940.413</v>
      </c>
      <c r="I32" s="1">
        <v>43940.413</v>
      </c>
      <c r="J32" s="1">
        <v>47176.25</v>
      </c>
      <c r="K32" s="1">
        <v>47465.625</v>
      </c>
      <c r="L32" s="244">
        <f>(K32-J32)*100/J32</f>
        <v>0.6133912720913596</v>
      </c>
      <c r="M32" s="244">
        <f>(K32-AC32)*100/AC32</f>
        <v>75.4217791411043</v>
      </c>
      <c r="N32" s="21">
        <v>7597</v>
      </c>
      <c r="O32" s="14">
        <v>8874</v>
      </c>
      <c r="P32" s="14">
        <v>10206</v>
      </c>
      <c r="Q32" s="14">
        <v>10812</v>
      </c>
      <c r="R32" s="14">
        <v>11500</v>
      </c>
      <c r="S32" s="14">
        <v>13150</v>
      </c>
      <c r="T32" s="14">
        <v>15600</v>
      </c>
      <c r="U32" s="14">
        <v>16845</v>
      </c>
      <c r="V32" s="14">
        <v>16912</v>
      </c>
      <c r="W32" s="14">
        <v>18530</v>
      </c>
      <c r="X32" s="206">
        <v>20192</v>
      </c>
      <c r="Y32" s="14">
        <v>20730</v>
      </c>
      <c r="Z32" s="14">
        <v>21929</v>
      </c>
      <c r="AA32" s="70">
        <v>22607</v>
      </c>
      <c r="AB32" s="70">
        <v>25707</v>
      </c>
      <c r="AC32" s="208">
        <v>27058</v>
      </c>
      <c r="AD32" s="208"/>
      <c r="AE32" s="1">
        <v>29257534</v>
      </c>
      <c r="AF32" s="3">
        <f>AE32/1000</f>
        <v>29257.534</v>
      </c>
      <c r="AI32" s="3">
        <v>30978413</v>
      </c>
      <c r="AJ32" s="3">
        <f>AI32/1000</f>
        <v>30978.413</v>
      </c>
      <c r="AL32" s="3">
        <v>32757413</v>
      </c>
      <c r="AM32" s="3">
        <f>AL32/1000</f>
        <v>32757.413</v>
      </c>
      <c r="AO32" s="3">
        <v>35007413</v>
      </c>
      <c r="AP32" s="3">
        <f>AO32/1000</f>
        <v>35007.413</v>
      </c>
      <c r="AR32" s="3">
        <v>36587413</v>
      </c>
      <c r="AS32" s="3">
        <f>AR32/1000</f>
        <v>36587.413</v>
      </c>
      <c r="AU32" s="3">
        <v>38174413</v>
      </c>
      <c r="AV32" s="3">
        <f>AU32/1000</f>
        <v>38174.413</v>
      </c>
      <c r="AX32" s="3">
        <v>39940413</v>
      </c>
      <c r="AY32" s="3">
        <f>AX32/1000</f>
        <v>39940.413</v>
      </c>
      <c r="AZ32" s="3">
        <v>43940413</v>
      </c>
      <c r="BA32" s="3">
        <f>AZ32/1000</f>
        <v>43940.413</v>
      </c>
      <c r="BB32" s="3">
        <v>47176250</v>
      </c>
      <c r="BC32" s="3">
        <f>BB32/1000</f>
        <v>47176.25</v>
      </c>
      <c r="BD32" s="278">
        <v>47465625</v>
      </c>
      <c r="BE32" s="3">
        <f>BD32/1000</f>
        <v>47465.625</v>
      </c>
    </row>
    <row r="33" spans="1:57" ht="12.75">
      <c r="A33" s="1" t="s">
        <v>24</v>
      </c>
      <c r="B33" s="1">
        <v>49691</v>
      </c>
      <c r="C33" s="1">
        <v>52520</v>
      </c>
      <c r="D33" s="1">
        <v>54535</v>
      </c>
      <c r="E33" s="1">
        <v>56215</v>
      </c>
      <c r="F33" s="1">
        <v>58900</v>
      </c>
      <c r="G33" s="1">
        <v>62634</v>
      </c>
      <c r="H33" s="1">
        <v>67811.488</v>
      </c>
      <c r="I33" s="1">
        <v>76000</v>
      </c>
      <c r="J33" s="1">
        <v>80138.192</v>
      </c>
      <c r="K33" s="1">
        <v>79195.102</v>
      </c>
      <c r="L33" s="244">
        <f>(K33-J33)*100/J33</f>
        <v>-1.1768296444721345</v>
      </c>
      <c r="M33" s="244">
        <f>(K33-AC33)*100/AC33</f>
        <v>70.4586784330607</v>
      </c>
      <c r="N33" s="21">
        <v>15066</v>
      </c>
      <c r="O33" s="14">
        <v>15808</v>
      </c>
      <c r="P33" s="14">
        <v>17774</v>
      </c>
      <c r="Q33" s="14">
        <v>20036</v>
      </c>
      <c r="R33" s="14">
        <v>22026</v>
      </c>
      <c r="S33" s="14">
        <v>23676</v>
      </c>
      <c r="T33" s="14">
        <v>26829</v>
      </c>
      <c r="U33" s="14">
        <v>30075</v>
      </c>
      <c r="V33" s="14">
        <v>29595</v>
      </c>
      <c r="W33" s="14">
        <v>32329</v>
      </c>
      <c r="X33" s="14">
        <v>36252</v>
      </c>
      <c r="Y33" s="14">
        <v>36256</v>
      </c>
      <c r="Z33" s="14">
        <v>38631</v>
      </c>
      <c r="AA33" s="70">
        <v>40060</v>
      </c>
      <c r="AB33" s="70">
        <v>42888</v>
      </c>
      <c r="AC33" s="208">
        <v>46460</v>
      </c>
      <c r="AD33" s="208"/>
      <c r="AE33" s="1">
        <v>49690740</v>
      </c>
      <c r="AF33" s="3">
        <f>AE33/1000</f>
        <v>49690.74</v>
      </c>
      <c r="AI33" s="3">
        <v>52520215</v>
      </c>
      <c r="AJ33" s="3">
        <f>AI33/1000</f>
        <v>52520.215</v>
      </c>
      <c r="AL33" s="3">
        <v>54534715</v>
      </c>
      <c r="AM33" s="3">
        <f>AL33/1000</f>
        <v>54534.715</v>
      </c>
      <c r="AO33" s="3">
        <v>56214697</v>
      </c>
      <c r="AP33" s="3">
        <f>AO33/1000</f>
        <v>56214.697</v>
      </c>
      <c r="AR33" s="3">
        <v>58900000</v>
      </c>
      <c r="AS33" s="3">
        <f>AR33/1000</f>
        <v>58900</v>
      </c>
      <c r="AU33" s="3">
        <v>62634224</v>
      </c>
      <c r="AV33" s="3">
        <f>AU33/1000</f>
        <v>62634.224</v>
      </c>
      <c r="AX33" s="3">
        <v>67811488</v>
      </c>
      <c r="AY33" s="3">
        <f>AX33/1000</f>
        <v>67811.488</v>
      </c>
      <c r="AZ33" s="3">
        <v>76000000</v>
      </c>
      <c r="BA33" s="3">
        <f>AZ33/1000</f>
        <v>76000</v>
      </c>
      <c r="BB33" s="3">
        <v>80138192</v>
      </c>
      <c r="BC33" s="3">
        <f>BB33/1000</f>
        <v>80138.192</v>
      </c>
      <c r="BD33" s="278">
        <v>79195102</v>
      </c>
      <c r="BE33" s="3">
        <f>BD33/1000</f>
        <v>79195.102</v>
      </c>
    </row>
    <row r="34" spans="1:57" ht="12.75">
      <c r="A34" s="1" t="s">
        <v>25</v>
      </c>
      <c r="B34" s="1">
        <v>8850</v>
      </c>
      <c r="C34" s="1">
        <v>8692</v>
      </c>
      <c r="D34" s="1">
        <v>8844</v>
      </c>
      <c r="E34" s="1">
        <v>8562</v>
      </c>
      <c r="F34" s="1">
        <v>8499</v>
      </c>
      <c r="G34" s="1">
        <v>8548</v>
      </c>
      <c r="H34" s="1">
        <v>8925.712</v>
      </c>
      <c r="I34" s="1">
        <v>8792.19234</v>
      </c>
      <c r="J34" s="1">
        <v>8994.324</v>
      </c>
      <c r="K34" s="1">
        <v>8740.42152</v>
      </c>
      <c r="L34" s="244">
        <f>(K34-J34)*100/J34</f>
        <v>-2.8229189875748375</v>
      </c>
      <c r="M34" s="244">
        <f>(K34-AC34)*100/AC34</f>
        <v>7.653916984850349</v>
      </c>
      <c r="N34" s="21">
        <v>2737</v>
      </c>
      <c r="O34" s="14">
        <v>3007</v>
      </c>
      <c r="P34" s="14">
        <v>3278</v>
      </c>
      <c r="Q34" s="14">
        <v>3380</v>
      </c>
      <c r="R34" s="14">
        <v>3910</v>
      </c>
      <c r="S34" s="14">
        <v>4414</v>
      </c>
      <c r="T34" s="14">
        <v>4773</v>
      </c>
      <c r="U34" s="14">
        <v>4443</v>
      </c>
      <c r="V34" s="14">
        <v>4339</v>
      </c>
      <c r="W34" s="14">
        <v>5539</v>
      </c>
      <c r="X34" s="14">
        <v>6267</v>
      </c>
      <c r="Y34" s="14">
        <v>6580</v>
      </c>
      <c r="Z34" s="14">
        <v>6449</v>
      </c>
      <c r="AA34" s="70">
        <v>7094</v>
      </c>
      <c r="AB34" s="70">
        <v>7619</v>
      </c>
      <c r="AC34" s="208">
        <v>8119</v>
      </c>
      <c r="AD34" s="208"/>
      <c r="AE34" s="1">
        <v>8849988</v>
      </c>
      <c r="AF34" s="3">
        <f>AE34/1000</f>
        <v>8849.988</v>
      </c>
      <c r="AI34" s="3">
        <v>8691732</v>
      </c>
      <c r="AJ34" s="3">
        <f>AI34/1000</f>
        <v>8691.732</v>
      </c>
      <c r="AL34" s="3">
        <v>8843759</v>
      </c>
      <c r="AM34" s="3">
        <f>AL34/1000</f>
        <v>8843.759</v>
      </c>
      <c r="AO34" s="3">
        <v>8562017</v>
      </c>
      <c r="AP34" s="3">
        <f>AO34/1000</f>
        <v>8562.017</v>
      </c>
      <c r="AR34" s="3">
        <v>8499357</v>
      </c>
      <c r="AS34" s="3">
        <f>AR34/1000</f>
        <v>8499.357</v>
      </c>
      <c r="AU34" s="3">
        <v>8547712</v>
      </c>
      <c r="AV34" s="3">
        <f>AU34/1000</f>
        <v>8547.712</v>
      </c>
      <c r="AX34" s="3">
        <v>8925712</v>
      </c>
      <c r="AY34" s="3">
        <f>AX34/1000</f>
        <v>8925.712</v>
      </c>
      <c r="AZ34" s="3">
        <v>8792192.34</v>
      </c>
      <c r="BA34" s="3">
        <f>AZ34/1000</f>
        <v>8792.19234</v>
      </c>
      <c r="BB34" s="3">
        <v>8994324</v>
      </c>
      <c r="BC34" s="3">
        <f>BB34/1000</f>
        <v>8994.324</v>
      </c>
      <c r="BD34" s="278">
        <v>8740421.52</v>
      </c>
      <c r="BE34" s="3">
        <f>BD34/1000</f>
        <v>8740.42152</v>
      </c>
    </row>
    <row r="35" spans="12:56" ht="12.75">
      <c r="L35" s="244"/>
      <c r="M35" s="244"/>
      <c r="O35" s="14"/>
      <c r="P35" s="14"/>
      <c r="R35" s="14"/>
      <c r="S35" s="14"/>
      <c r="T35" s="14"/>
      <c r="U35" s="14"/>
      <c r="V35" s="14"/>
      <c r="W35" s="14"/>
      <c r="X35" s="14"/>
      <c r="Y35" s="14"/>
      <c r="Z35" s="14"/>
      <c r="AA35" s="70"/>
      <c r="AB35" s="70"/>
      <c r="AC35" s="208"/>
      <c r="AD35" s="208"/>
      <c r="AE35" s="1"/>
      <c r="BD35" s="279"/>
    </row>
    <row r="36" spans="1:57" ht="12.75">
      <c r="A36" s="1" t="s">
        <v>26</v>
      </c>
      <c r="B36" s="1">
        <v>22370</v>
      </c>
      <c r="C36" s="1">
        <v>24072</v>
      </c>
      <c r="D36" s="1">
        <v>25804</v>
      </c>
      <c r="E36" s="1">
        <v>25846</v>
      </c>
      <c r="F36" s="1">
        <v>26361</v>
      </c>
      <c r="G36" s="1">
        <v>27898</v>
      </c>
      <c r="H36" s="1">
        <v>29848.888</v>
      </c>
      <c r="I36" s="1">
        <v>31728.712</v>
      </c>
      <c r="J36" s="1">
        <v>34053.966</v>
      </c>
      <c r="K36" s="1">
        <v>34219.073</v>
      </c>
      <c r="L36" s="244">
        <f>(K36-J36)*100/J36</f>
        <v>0.4848392695288306</v>
      </c>
      <c r="M36" s="244">
        <f>(K36-AC36)*100/AC36</f>
        <v>63.368055953403974</v>
      </c>
      <c r="N36" s="21">
        <v>7893</v>
      </c>
      <c r="O36" s="14">
        <v>8311</v>
      </c>
      <c r="P36" s="14">
        <v>8689</v>
      </c>
      <c r="Q36" s="14">
        <v>10679</v>
      </c>
      <c r="R36" s="14">
        <v>11877</v>
      </c>
      <c r="S36" s="14">
        <v>13741</v>
      </c>
      <c r="T36" s="14">
        <v>14397</v>
      </c>
      <c r="U36" s="14">
        <v>13580</v>
      </c>
      <c r="V36" s="14">
        <v>13947</v>
      </c>
      <c r="W36" s="14">
        <v>16807</v>
      </c>
      <c r="X36" s="14">
        <v>18550</v>
      </c>
      <c r="Y36" s="14">
        <v>17675</v>
      </c>
      <c r="Z36" s="14">
        <v>18578</v>
      </c>
      <c r="AA36" s="70">
        <v>19162</v>
      </c>
      <c r="AB36" s="70">
        <v>19949</v>
      </c>
      <c r="AC36" s="208">
        <v>20946</v>
      </c>
      <c r="AD36" s="208"/>
      <c r="AE36" s="1">
        <v>22369792</v>
      </c>
      <c r="AF36" s="3">
        <f>AE36/1000</f>
        <v>22369.792</v>
      </c>
      <c r="AI36" s="3">
        <v>24071992</v>
      </c>
      <c r="AJ36" s="3">
        <f>AI36/1000</f>
        <v>24071.992</v>
      </c>
      <c r="AL36" s="3">
        <v>25804352</v>
      </c>
      <c r="AM36" s="3">
        <f>AL36/1000</f>
        <v>25804.352</v>
      </c>
      <c r="AO36" s="3">
        <v>25845786</v>
      </c>
      <c r="AP36" s="3">
        <f>AO36/1000</f>
        <v>25845.786</v>
      </c>
      <c r="AR36" s="3">
        <v>26361280</v>
      </c>
      <c r="AS36" s="3">
        <f>AR36/1000</f>
        <v>26361.28</v>
      </c>
      <c r="AU36" s="3">
        <v>27897682</v>
      </c>
      <c r="AV36" s="3">
        <f>AU36/1000</f>
        <v>27897.682</v>
      </c>
      <c r="AX36" s="3">
        <v>29848888</v>
      </c>
      <c r="AY36" s="3">
        <f>AX36/1000</f>
        <v>29848.888</v>
      </c>
      <c r="AZ36" s="3">
        <v>31728712</v>
      </c>
      <c r="BA36" s="3">
        <f>AZ36/1000</f>
        <v>31728.712</v>
      </c>
      <c r="BB36" s="3">
        <v>34053966</v>
      </c>
      <c r="BC36" s="3">
        <f>BB36/1000</f>
        <v>34053.966</v>
      </c>
      <c r="BD36" s="278">
        <v>34219073</v>
      </c>
      <c r="BE36" s="3">
        <f>BD36/1000</f>
        <v>34219.073</v>
      </c>
    </row>
    <row r="37" spans="1:57" ht="12.75">
      <c r="A37" s="1" t="s">
        <v>27</v>
      </c>
      <c r="B37" s="1">
        <v>64576</v>
      </c>
      <c r="C37" s="1">
        <v>69564</v>
      </c>
      <c r="D37" s="1">
        <v>72071</v>
      </c>
      <c r="E37" s="1">
        <v>74825</v>
      </c>
      <c r="F37" s="1">
        <v>78817</v>
      </c>
      <c r="G37" s="1">
        <v>81978</v>
      </c>
      <c r="H37" s="1">
        <v>83232.40225</v>
      </c>
      <c r="I37" s="1">
        <v>85552.83908</v>
      </c>
      <c r="J37" s="1">
        <v>87741.185</v>
      </c>
      <c r="K37" s="1">
        <v>89573.97824</v>
      </c>
      <c r="L37" s="244">
        <f>(K37-J37)*100/J37</f>
        <v>2.088863103455919</v>
      </c>
      <c r="M37" s="244">
        <f>(K37-AC37)*100/AC37</f>
        <v>48.203140701522166</v>
      </c>
      <c r="N37" s="21">
        <v>27008</v>
      </c>
      <c r="O37" s="14">
        <v>28416</v>
      </c>
      <c r="P37" s="14">
        <v>30616</v>
      </c>
      <c r="Q37" s="14">
        <v>32715</v>
      </c>
      <c r="R37" s="14">
        <v>34986</v>
      </c>
      <c r="S37" s="14">
        <v>37730</v>
      </c>
      <c r="T37" s="14">
        <v>40501</v>
      </c>
      <c r="U37" s="14">
        <v>41061</v>
      </c>
      <c r="V37" s="14">
        <v>38751</v>
      </c>
      <c r="W37" s="14">
        <v>43223</v>
      </c>
      <c r="X37" s="14">
        <v>45898</v>
      </c>
      <c r="Y37" s="14">
        <v>47037</v>
      </c>
      <c r="Z37" s="14">
        <v>48233</v>
      </c>
      <c r="AA37" s="70">
        <v>51661</v>
      </c>
      <c r="AB37" s="70">
        <v>55841</v>
      </c>
      <c r="AC37" s="208">
        <v>60440</v>
      </c>
      <c r="AD37" s="208"/>
      <c r="AE37" s="1">
        <v>64576254</v>
      </c>
      <c r="AF37" s="3">
        <f>AE37/1000</f>
        <v>64576.254</v>
      </c>
      <c r="AI37" s="3">
        <v>69563895</v>
      </c>
      <c r="AJ37" s="3">
        <f>AI37/1000</f>
        <v>69563.895</v>
      </c>
      <c r="AL37" s="3">
        <v>72070834</v>
      </c>
      <c r="AM37" s="3">
        <f>AL37/1000</f>
        <v>72070.834</v>
      </c>
      <c r="AO37" s="3">
        <v>74824848</v>
      </c>
      <c r="AP37" s="3">
        <f>AO37/1000</f>
        <v>74824.848</v>
      </c>
      <c r="AR37" s="3">
        <v>78816610</v>
      </c>
      <c r="AS37" s="3">
        <f>AR37/1000</f>
        <v>78816.61</v>
      </c>
      <c r="AU37" s="3">
        <v>81977719</v>
      </c>
      <c r="AV37" s="3">
        <f>AU37/1000</f>
        <v>81977.719</v>
      </c>
      <c r="AX37" s="3">
        <v>83232402.25</v>
      </c>
      <c r="AY37" s="3">
        <f>AX37/1000</f>
        <v>83232.40225</v>
      </c>
      <c r="AZ37" s="3">
        <v>85552839.08</v>
      </c>
      <c r="BA37" s="3">
        <f>AZ37/1000</f>
        <v>85552.83908</v>
      </c>
      <c r="BB37" s="3">
        <v>87741185</v>
      </c>
      <c r="BC37" s="3">
        <f>BB37/1000</f>
        <v>87741.185</v>
      </c>
      <c r="BD37" s="278">
        <v>89573978.24</v>
      </c>
      <c r="BE37" s="3">
        <f>BD37/1000</f>
        <v>89573.97824</v>
      </c>
    </row>
    <row r="38" spans="1:57" ht="12.75">
      <c r="A38" s="1" t="s">
        <v>28</v>
      </c>
      <c r="B38" s="1">
        <v>42844</v>
      </c>
      <c r="C38" s="1">
        <v>43744</v>
      </c>
      <c r="D38" s="1">
        <v>44665</v>
      </c>
      <c r="E38" s="1">
        <v>45680</v>
      </c>
      <c r="F38" s="1">
        <v>46131</v>
      </c>
      <c r="G38" s="1">
        <v>46925</v>
      </c>
      <c r="H38" s="1">
        <v>48329.815</v>
      </c>
      <c r="I38" s="1">
        <v>49443.053</v>
      </c>
      <c r="J38" s="1">
        <v>50204.655</v>
      </c>
      <c r="K38" s="1">
        <v>50781.711</v>
      </c>
      <c r="L38" s="244">
        <f>(K38-J38)*100/J38</f>
        <v>1.149407360731797</v>
      </c>
      <c r="M38" s="244">
        <f>(K38-AC38)*100/AC38</f>
        <v>33.13158294882551</v>
      </c>
      <c r="N38" s="21">
        <v>14583</v>
      </c>
      <c r="O38" s="14">
        <v>16325</v>
      </c>
      <c r="P38" s="14">
        <v>17277</v>
      </c>
      <c r="Q38" s="14">
        <v>18115</v>
      </c>
      <c r="R38" s="14">
        <v>20214</v>
      </c>
      <c r="S38" s="14">
        <v>23660</v>
      </c>
      <c r="T38" s="14">
        <v>26121</v>
      </c>
      <c r="U38" s="14">
        <v>23499</v>
      </c>
      <c r="V38" s="14">
        <v>25052</v>
      </c>
      <c r="W38" s="14">
        <v>27313</v>
      </c>
      <c r="X38" s="14">
        <v>29526</v>
      </c>
      <c r="Y38" s="14">
        <v>28153</v>
      </c>
      <c r="Z38" s="14">
        <v>30343</v>
      </c>
      <c r="AA38" s="70">
        <v>31788</v>
      </c>
      <c r="AB38" s="70">
        <v>35426</v>
      </c>
      <c r="AC38" s="208">
        <v>38144</v>
      </c>
      <c r="AD38" s="208"/>
      <c r="AE38" s="1">
        <v>42843788</v>
      </c>
      <c r="AF38" s="3">
        <f>AE38/1000</f>
        <v>42843.788</v>
      </c>
      <c r="AI38" s="3">
        <v>43743788</v>
      </c>
      <c r="AJ38" s="3">
        <f>AI38/1000</f>
        <v>43743.788</v>
      </c>
      <c r="AL38" s="3">
        <v>44665088</v>
      </c>
      <c r="AM38" s="3">
        <f>AL38/1000</f>
        <v>44665.088</v>
      </c>
      <c r="AO38" s="3">
        <v>45679815</v>
      </c>
      <c r="AP38" s="3">
        <f>AO38/1000</f>
        <v>45679.815</v>
      </c>
      <c r="AR38" s="3">
        <v>46131073</v>
      </c>
      <c r="AS38" s="3">
        <f>AR38/1000</f>
        <v>46131.073</v>
      </c>
      <c r="AU38" s="3">
        <v>46925458</v>
      </c>
      <c r="AV38" s="3">
        <f>AU38/1000</f>
        <v>46925.458</v>
      </c>
      <c r="AX38" s="3">
        <v>48329815</v>
      </c>
      <c r="AY38" s="3">
        <f>AX38/1000</f>
        <v>48329.815</v>
      </c>
      <c r="AZ38" s="3">
        <v>49443053</v>
      </c>
      <c r="BA38" s="3">
        <f>AZ38/1000</f>
        <v>49443.053</v>
      </c>
      <c r="BB38" s="3">
        <v>50204655</v>
      </c>
      <c r="BC38" s="3">
        <f>BB38/1000</f>
        <v>50204.655</v>
      </c>
      <c r="BD38" s="278">
        <v>50781711</v>
      </c>
      <c r="BE38" s="3">
        <f>BD38/1000</f>
        <v>50781.711</v>
      </c>
    </row>
    <row r="39" spans="1:57" ht="12.75">
      <c r="A39" s="1" t="s">
        <v>29</v>
      </c>
      <c r="B39" s="1">
        <v>40808</v>
      </c>
      <c r="C39" s="1">
        <v>44537</v>
      </c>
      <c r="D39" s="1">
        <v>47480</v>
      </c>
      <c r="E39" s="1">
        <v>48164</v>
      </c>
      <c r="F39" s="1">
        <v>52104</v>
      </c>
      <c r="G39" s="1">
        <v>55067</v>
      </c>
      <c r="H39" s="1">
        <v>61150.026</v>
      </c>
      <c r="I39" s="1">
        <v>66703.96</v>
      </c>
      <c r="J39" s="1">
        <v>72614.611</v>
      </c>
      <c r="K39" s="1">
        <v>71954.064</v>
      </c>
      <c r="L39" s="244">
        <f>(K39-J39)*100/J39</f>
        <v>-0.909661280152015</v>
      </c>
      <c r="M39" s="244">
        <f>(K39-AC39)*100/AC39</f>
        <v>91.63221476510067</v>
      </c>
      <c r="N39" s="21">
        <v>12433</v>
      </c>
      <c r="O39" s="14">
        <v>14235</v>
      </c>
      <c r="P39" s="14">
        <v>17180</v>
      </c>
      <c r="Q39" s="14">
        <v>18720</v>
      </c>
      <c r="R39" s="14">
        <v>19824</v>
      </c>
      <c r="S39" s="14">
        <v>22042</v>
      </c>
      <c r="T39" s="14">
        <v>24371</v>
      </c>
      <c r="U39" s="14">
        <v>25873</v>
      </c>
      <c r="V39" s="14">
        <v>26487</v>
      </c>
      <c r="W39" s="14">
        <v>28708</v>
      </c>
      <c r="X39" s="14">
        <v>30222</v>
      </c>
      <c r="Y39" s="14">
        <v>31142</v>
      </c>
      <c r="Z39" s="14">
        <v>32438</v>
      </c>
      <c r="AA39" s="71">
        <v>35395</v>
      </c>
      <c r="AB39" s="70">
        <v>36078</v>
      </c>
      <c r="AC39" s="208">
        <v>37548</v>
      </c>
      <c r="AD39" s="208"/>
      <c r="AE39" s="1">
        <v>40808342</v>
      </c>
      <c r="AF39" s="3">
        <f>AE39/1000</f>
        <v>40808.342</v>
      </c>
      <c r="AI39" s="3">
        <v>44536521</v>
      </c>
      <c r="AJ39" s="3">
        <f>AI39/1000</f>
        <v>44536.521</v>
      </c>
      <c r="AL39" s="3">
        <v>47479742</v>
      </c>
      <c r="AM39" s="3">
        <f>AL39/1000</f>
        <v>47479.742</v>
      </c>
      <c r="AO39" s="3">
        <v>48163739</v>
      </c>
      <c r="AP39" s="3">
        <f>AO39/1000</f>
        <v>48163.739</v>
      </c>
      <c r="AR39" s="3">
        <v>52104132</v>
      </c>
      <c r="AS39" s="3">
        <f>AR39/1000</f>
        <v>52104.132</v>
      </c>
      <c r="AU39" s="3">
        <v>55066516</v>
      </c>
      <c r="AV39" s="3">
        <f>AU39/1000</f>
        <v>55066.516</v>
      </c>
      <c r="AX39" s="3">
        <v>61150026</v>
      </c>
      <c r="AY39" s="3">
        <f>AX39/1000</f>
        <v>61150.026</v>
      </c>
      <c r="AZ39" s="3">
        <v>66703960</v>
      </c>
      <c r="BA39" s="3">
        <f>AZ39/1000</f>
        <v>66703.96</v>
      </c>
      <c r="BB39" s="3">
        <v>72614611</v>
      </c>
      <c r="BC39" s="3">
        <f>BB39/1000</f>
        <v>72614.611</v>
      </c>
      <c r="BD39" s="280">
        <v>71954064</v>
      </c>
      <c r="BE39" s="3">
        <f>BD39/1000</f>
        <v>71954.064</v>
      </c>
    </row>
    <row r="40" spans="1:25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Y40" s="18"/>
    </row>
    <row r="42" spans="18:25" ht="12.75">
      <c r="R42" s="14"/>
      <c r="S42" s="14"/>
      <c r="Y42" s="14"/>
    </row>
    <row r="43" spans="18:25" ht="12.75">
      <c r="R43" s="14"/>
      <c r="S43" s="14"/>
      <c r="Y43" s="14"/>
    </row>
    <row r="44" spans="18:25" ht="12.75">
      <c r="R44" s="14"/>
      <c r="S44" s="14"/>
      <c r="Y44" s="14"/>
    </row>
    <row r="45" spans="18:25" ht="12.75">
      <c r="R45" s="14"/>
      <c r="S45" s="14"/>
      <c r="Y45" s="14"/>
    </row>
    <row r="46" spans="18:25" ht="12.75">
      <c r="R46" s="14"/>
      <c r="S46" s="14"/>
      <c r="Y46" s="14"/>
    </row>
    <row r="47" ht="12.75">
      <c r="Y47" s="14"/>
    </row>
    <row r="48" ht="12.75">
      <c r="Y48" s="14"/>
    </row>
    <row r="49" ht="12.75">
      <c r="Y49" s="14"/>
    </row>
    <row r="50" ht="12.75">
      <c r="Y50" s="14"/>
    </row>
    <row r="51" ht="12.75">
      <c r="Y51" s="14"/>
    </row>
  </sheetData>
  <sheetProtection password="CAF5" sheet="1"/>
  <mergeCells count="2">
    <mergeCell ref="L7:M7"/>
    <mergeCell ref="A4:M4"/>
  </mergeCells>
  <printOptions/>
  <pageMargins left="0.4" right="0.41" top="1" bottom="1" header="0.5" footer="0.5"/>
  <pageSetup fitToHeight="1" fitToWidth="1" orientation="landscape" scale="79" r:id="rId1"/>
  <headerFooter scaleWithDoc="0" alignWithMargins="0">
    <oddFooter>&amp;L&amp;"Arial,Italic"&amp;10MSDE-LFRO  10 / 2011&amp;C&amp;"Arial,Regular"&amp;10- 4 -&amp;R&amp;"Arial,Italic"&amp;10Selected Financial Data - Part 4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8"/>
  <sheetViews>
    <sheetView zoomScalePageLayoutView="0" workbookViewId="0" topLeftCell="A34">
      <selection activeCell="B48" sqref="B48"/>
    </sheetView>
  </sheetViews>
  <sheetFormatPr defaultColWidth="10.00390625" defaultRowHeight="15.75"/>
  <cols>
    <col min="1" max="1" width="12.875" style="1" customWidth="1"/>
    <col min="2" max="11" width="12.625" style="1" customWidth="1"/>
    <col min="12" max="12" width="8.75390625" style="1" customWidth="1"/>
    <col min="13" max="13" width="8.125" style="1" customWidth="1"/>
    <col min="14" max="15" width="8.625" style="1" bestFit="1" customWidth="1"/>
    <col min="16" max="20" width="10.125" style="1" customWidth="1"/>
    <col min="21" max="22" width="10.125" style="3" customWidth="1"/>
    <col min="23" max="23" width="10.125" style="1" customWidth="1"/>
    <col min="24" max="25" width="12.625" style="1" customWidth="1"/>
    <col min="26" max="26" width="10.875" style="3" bestFit="1" customWidth="1"/>
    <col min="27" max="28" width="12.625" style="1" customWidth="1"/>
    <col min="29" max="29" width="8.375" style="3" bestFit="1" customWidth="1"/>
    <col min="30" max="30" width="3.75390625" style="3" customWidth="1"/>
    <col min="31" max="31" width="13.125" style="3" bestFit="1" customWidth="1"/>
    <col min="32" max="32" width="10.00390625" style="3" customWidth="1"/>
    <col min="33" max="33" width="3.625" style="3" customWidth="1"/>
    <col min="34" max="34" width="13.125" style="3" bestFit="1" customWidth="1"/>
    <col min="35" max="35" width="10.00390625" style="3" customWidth="1"/>
    <col min="36" max="36" width="3.375" style="3" customWidth="1"/>
    <col min="37" max="37" width="10.00390625" style="3" customWidth="1"/>
    <col min="38" max="39" width="7.875" style="3" customWidth="1"/>
    <col min="40" max="41" width="10.00390625" style="3" customWidth="1"/>
    <col min="42" max="42" width="3.875" style="3" customWidth="1"/>
    <col min="43" max="44" width="10.00390625" style="3" customWidth="1"/>
    <col min="45" max="45" width="5.125" style="3" customWidth="1"/>
    <col min="46" max="47" width="10.00390625" style="3" customWidth="1"/>
    <col min="48" max="48" width="2.375" style="3" customWidth="1"/>
    <col min="49" max="50" width="10.00390625" style="3" customWidth="1"/>
    <col min="51" max="51" width="3.125" style="3" customWidth="1"/>
    <col min="52" max="55" width="10.00390625" style="3" customWidth="1"/>
    <col min="56" max="56" width="11.125" style="3" bestFit="1" customWidth="1"/>
    <col min="57" max="16384" width="10.00390625" style="3" customWidth="1"/>
  </cols>
  <sheetData>
    <row r="1" spans="1:28" s="225" customFormat="1" ht="15.75" customHeight="1">
      <c r="A1" s="115" t="s">
        <v>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201"/>
      <c r="O1" s="68"/>
      <c r="P1" s="68"/>
      <c r="Q1" s="68"/>
      <c r="R1" s="68"/>
      <c r="S1" s="68"/>
      <c r="T1" s="68"/>
      <c r="W1" s="201"/>
      <c r="X1" s="201"/>
      <c r="Y1" s="201"/>
      <c r="AA1" s="201"/>
      <c r="AB1" s="201"/>
    </row>
    <row r="2" spans="1:28" s="225" customFormat="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01"/>
      <c r="O2" s="68"/>
      <c r="P2" s="68"/>
      <c r="Q2" s="68"/>
      <c r="R2" s="68"/>
      <c r="S2" s="68"/>
      <c r="T2" s="68"/>
      <c r="W2" s="201"/>
      <c r="X2" s="201"/>
      <c r="Y2" s="201"/>
      <c r="AA2" s="201"/>
      <c r="AB2" s="201"/>
    </row>
    <row r="3" spans="1:28" s="225" customFormat="1" ht="12.75">
      <c r="A3" s="115" t="s">
        <v>227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201"/>
      <c r="O3" s="68"/>
      <c r="P3" s="68"/>
      <c r="Q3" s="68"/>
      <c r="R3" s="68"/>
      <c r="S3" s="68"/>
      <c r="T3" s="68"/>
      <c r="W3" s="201"/>
      <c r="X3" s="201"/>
      <c r="Y3" s="201"/>
      <c r="AA3" s="201"/>
      <c r="AB3" s="201"/>
    </row>
    <row r="4" spans="1:34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201"/>
      <c r="P4" s="201"/>
      <c r="Q4" s="10"/>
      <c r="U4" s="1"/>
      <c r="V4" s="1"/>
      <c r="X4" s="2"/>
      <c r="Y4" s="2"/>
      <c r="Z4" s="10"/>
      <c r="AA4" s="2"/>
      <c r="AB4" s="2"/>
      <c r="AC4" s="2"/>
      <c r="AD4" s="2"/>
      <c r="AE4" s="2"/>
      <c r="AF4" s="2"/>
      <c r="AG4" s="2"/>
      <c r="AH4" s="1"/>
    </row>
    <row r="5" spans="1:28" ht="13.5" thickBot="1">
      <c r="A5" s="22"/>
      <c r="B5" s="22"/>
      <c r="C5" s="22"/>
      <c r="D5" s="22"/>
      <c r="N5" s="22"/>
      <c r="O5" s="22"/>
      <c r="Q5" s="22"/>
      <c r="R5" s="22"/>
      <c r="S5" s="22"/>
      <c r="T5" s="22"/>
      <c r="W5" s="22"/>
      <c r="X5" s="22"/>
      <c r="Y5" s="22"/>
      <c r="AA5" s="22"/>
      <c r="AB5" s="7"/>
    </row>
    <row r="6" spans="1:30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R6" s="5"/>
      <c r="S6" s="3"/>
      <c r="T6" s="5"/>
      <c r="U6" s="5"/>
      <c r="V6" s="5"/>
      <c r="W6" s="5"/>
      <c r="X6" s="5"/>
      <c r="Y6" s="5"/>
      <c r="Z6" s="5"/>
      <c r="AA6" s="5"/>
      <c r="AB6" s="5"/>
      <c r="AC6" s="5"/>
      <c r="AD6" s="39"/>
    </row>
    <row r="7" spans="12:49" ht="12.75">
      <c r="L7" s="6" t="s">
        <v>34</v>
      </c>
      <c r="M7" s="6"/>
      <c r="S7" s="3"/>
      <c r="U7" s="1"/>
      <c r="V7" s="1"/>
      <c r="Z7" s="1"/>
      <c r="AC7" s="1"/>
      <c r="AD7" s="23"/>
      <c r="AW7" s="3" t="s">
        <v>257</v>
      </c>
    </row>
    <row r="8" spans="1:57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O8" s="7"/>
      <c r="P8" s="7"/>
      <c r="Q8" s="7"/>
      <c r="R8" s="7"/>
      <c r="S8" s="3"/>
      <c r="T8" s="7"/>
      <c r="U8" s="7"/>
      <c r="V8" s="7"/>
      <c r="W8" s="7"/>
      <c r="X8" s="7"/>
      <c r="Y8" s="7"/>
      <c r="Z8" s="7"/>
      <c r="AA8" s="7"/>
      <c r="AB8" s="7"/>
      <c r="AD8" s="14"/>
      <c r="AI8" s="3" t="s">
        <v>210</v>
      </c>
      <c r="AL8" s="3" t="s">
        <v>210</v>
      </c>
      <c r="AO8" s="3" t="s">
        <v>210</v>
      </c>
      <c r="AR8" s="3" t="s">
        <v>210</v>
      </c>
      <c r="AU8" s="3" t="s">
        <v>210</v>
      </c>
      <c r="AX8" s="3" t="s">
        <v>210</v>
      </c>
      <c r="BA8" s="189" t="s">
        <v>209</v>
      </c>
      <c r="BC8" s="189" t="s">
        <v>209</v>
      </c>
      <c r="BE8" s="189" t="s">
        <v>209</v>
      </c>
    </row>
    <row r="9" spans="1:57" ht="13.5" thickBot="1">
      <c r="A9" s="8" t="s">
        <v>1</v>
      </c>
      <c r="B9" s="9" t="s">
        <v>105</v>
      </c>
      <c r="C9" s="9" t="s">
        <v>161</v>
      </c>
      <c r="D9" s="9" t="s">
        <v>168</v>
      </c>
      <c r="E9" s="9" t="s">
        <v>184</v>
      </c>
      <c r="F9" s="9" t="s">
        <v>194</v>
      </c>
      <c r="G9" s="9" t="s">
        <v>208</v>
      </c>
      <c r="H9" s="9" t="s">
        <v>243</v>
      </c>
      <c r="I9" s="9" t="s">
        <v>256</v>
      </c>
      <c r="J9" s="9" t="s">
        <v>269</v>
      </c>
      <c r="K9" s="9" t="s">
        <v>284</v>
      </c>
      <c r="L9" s="9" t="s">
        <v>84</v>
      </c>
      <c r="M9" s="9" t="s">
        <v>84</v>
      </c>
      <c r="N9" s="10" t="s">
        <v>43</v>
      </c>
      <c r="O9" s="9" t="s">
        <v>35</v>
      </c>
      <c r="P9" s="9" t="s">
        <v>31</v>
      </c>
      <c r="Q9" s="9" t="s">
        <v>64</v>
      </c>
      <c r="R9" s="9" t="s">
        <v>32</v>
      </c>
      <c r="S9" s="9" t="s">
        <v>45</v>
      </c>
      <c r="T9" s="9" t="s">
        <v>67</v>
      </c>
      <c r="U9" s="8" t="s">
        <v>71</v>
      </c>
      <c r="V9" s="8" t="s">
        <v>70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14"/>
      <c r="AE9" s="9" t="s">
        <v>105</v>
      </c>
      <c r="AF9" s="9" t="s">
        <v>105</v>
      </c>
      <c r="AH9" s="9" t="s">
        <v>161</v>
      </c>
      <c r="AI9" s="9" t="s">
        <v>161</v>
      </c>
      <c r="AK9" s="316" t="s">
        <v>168</v>
      </c>
      <c r="AL9" s="316"/>
      <c r="AM9" s="187"/>
      <c r="AN9" s="316" t="s">
        <v>184</v>
      </c>
      <c r="AO9" s="316"/>
      <c r="AQ9" s="316" t="s">
        <v>194</v>
      </c>
      <c r="AR9" s="316"/>
      <c r="AT9" s="316" t="s">
        <v>208</v>
      </c>
      <c r="AU9" s="316"/>
      <c r="AW9" s="256" t="s">
        <v>243</v>
      </c>
      <c r="AX9" s="256" t="s">
        <v>243</v>
      </c>
      <c r="AY9" s="259"/>
      <c r="AZ9" s="20" t="s">
        <v>256</v>
      </c>
      <c r="BA9" s="20" t="s">
        <v>256</v>
      </c>
      <c r="BB9" s="20" t="s">
        <v>256</v>
      </c>
      <c r="BC9" s="20" t="s">
        <v>256</v>
      </c>
      <c r="BD9" s="3" t="s">
        <v>284</v>
      </c>
      <c r="BE9" s="3" t="s">
        <v>284</v>
      </c>
    </row>
    <row r="10" spans="1:57" ht="13.5" thickTop="1">
      <c r="A10" s="7" t="s">
        <v>5</v>
      </c>
      <c r="B10" s="23">
        <v>479697</v>
      </c>
      <c r="C10" s="23">
        <v>529948</v>
      </c>
      <c r="D10" s="23">
        <f aca="true" t="shared" si="0" ref="D10:I10">SUM(D12:D39)</f>
        <v>571041</v>
      </c>
      <c r="E10" s="23">
        <f t="shared" si="0"/>
        <v>575837</v>
      </c>
      <c r="F10" s="23">
        <f t="shared" si="0"/>
        <v>648726</v>
      </c>
      <c r="G10" s="23">
        <f t="shared" si="0"/>
        <v>651260</v>
      </c>
      <c r="H10" s="23">
        <f t="shared" si="0"/>
        <v>661973.05218</v>
      </c>
      <c r="I10" s="23">
        <f t="shared" si="0"/>
        <v>701587.0128600001</v>
      </c>
      <c r="J10" s="23">
        <f>SUM(J12:J39)</f>
        <v>681345.0510399999</v>
      </c>
      <c r="K10" s="23">
        <f>SUM(K12:K39)</f>
        <v>1026004.1912200002</v>
      </c>
      <c r="L10" s="244">
        <f>(K10-J10)*100/J10</f>
        <v>50.58510950566312</v>
      </c>
      <c r="M10" s="244">
        <f>(K10-AC10)*100/AC10</f>
        <v>157.85219329788094</v>
      </c>
      <c r="N10" s="13">
        <f aca="true" t="shared" si="1" ref="N10:S10">SUM(N12:N39)</f>
        <v>138994</v>
      </c>
      <c r="O10" s="11">
        <f t="shared" si="1"/>
        <v>147408</v>
      </c>
      <c r="P10" s="11">
        <f t="shared" si="1"/>
        <v>153125</v>
      </c>
      <c r="Q10" s="11">
        <f t="shared" si="1"/>
        <v>162056</v>
      </c>
      <c r="R10" s="11">
        <f t="shared" si="1"/>
        <v>177746</v>
      </c>
      <c r="S10" s="11">
        <f t="shared" si="1"/>
        <v>187242</v>
      </c>
      <c r="T10" s="11">
        <f>SUM(T12:T39)</f>
        <v>204219</v>
      </c>
      <c r="U10" s="11">
        <f>SUM(U12:U39)</f>
        <v>230061</v>
      </c>
      <c r="V10" s="11">
        <f>SUM(V12:V39)</f>
        <v>252012.33400000006</v>
      </c>
      <c r="W10" s="11">
        <v>258385</v>
      </c>
      <c r="X10" s="23">
        <v>269938</v>
      </c>
      <c r="Y10" s="23">
        <v>271776</v>
      </c>
      <c r="Z10" s="23">
        <v>303882</v>
      </c>
      <c r="AA10" s="23">
        <v>328358</v>
      </c>
      <c r="AB10" s="23">
        <v>362568</v>
      </c>
      <c r="AC10" s="23">
        <v>397904</v>
      </c>
      <c r="AD10" s="14"/>
      <c r="AE10" s="30">
        <f>SUM(AE12:AE39)</f>
        <v>479696621.26</v>
      </c>
      <c r="AF10" s="30">
        <f>SUM(AF12:AF39)</f>
        <v>479696.62126</v>
      </c>
      <c r="AH10" s="131">
        <v>529946907</v>
      </c>
      <c r="AI10" s="30">
        <f>SUM(AI12:AI39)</f>
        <v>529946.90688</v>
      </c>
      <c r="AK10" s="30">
        <f>SUM(AK12:AK39)</f>
        <v>571042256.64</v>
      </c>
      <c r="AL10" s="30">
        <f>SUM(AL12:AL39)</f>
        <v>571042.2566399999</v>
      </c>
      <c r="AM10" s="30"/>
      <c r="AN10" s="3">
        <v>575840541</v>
      </c>
      <c r="AO10" s="30">
        <f>SUM(AO12:AO39)</f>
        <v>575840.5421600002</v>
      </c>
      <c r="AQ10" s="30">
        <f>SUM(AQ12:AQ39)</f>
        <v>648726085.1800001</v>
      </c>
      <c r="AR10" s="30">
        <f>SUM(AR12:AR39)</f>
        <v>648726.0851799998</v>
      </c>
      <c r="AT10" s="30">
        <f>SUM(AT12:AT39)</f>
        <v>651260796.3700001</v>
      </c>
      <c r="AU10" s="30">
        <f>SUM(AU12:AU39)</f>
        <v>651260.79637</v>
      </c>
      <c r="AW10" s="30">
        <f>SUM(AW12:AW39)</f>
        <v>661973052.18</v>
      </c>
      <c r="AX10" s="30">
        <f>SUM(AX12:AX39)</f>
        <v>661973.05218</v>
      </c>
      <c r="AY10" s="30"/>
      <c r="AZ10" s="30">
        <f aca="true" t="shared" si="2" ref="AZ10:BE10">SUM(AZ12:AZ39)</f>
        <v>701587012.8600001</v>
      </c>
      <c r="BA10" s="30">
        <f t="shared" si="2"/>
        <v>701587.0128600001</v>
      </c>
      <c r="BB10" s="30">
        <f t="shared" si="2"/>
        <v>681345051.0399998</v>
      </c>
      <c r="BC10" s="30">
        <f t="shared" si="2"/>
        <v>681345.0510399999</v>
      </c>
      <c r="BD10" s="30">
        <f t="shared" si="2"/>
        <v>1026004191.2200001</v>
      </c>
      <c r="BE10" s="30">
        <f t="shared" si="2"/>
        <v>1026004.1912200002</v>
      </c>
    </row>
    <row r="11" spans="2:34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M11" s="14"/>
      <c r="O11" s="14"/>
      <c r="R11" s="14"/>
      <c r="S11" s="14"/>
      <c r="U11" s="1"/>
      <c r="V11" s="1"/>
      <c r="X11" s="14"/>
      <c r="Y11" s="14"/>
      <c r="Z11" s="14"/>
      <c r="AA11" s="14"/>
      <c r="AB11" s="14"/>
      <c r="AC11" s="14"/>
      <c r="AD11" s="14"/>
      <c r="AH11" s="121"/>
    </row>
    <row r="12" spans="1:57" ht="12.75">
      <c r="A12" s="1" t="s">
        <v>6</v>
      </c>
      <c r="B12" s="14">
        <v>9702</v>
      </c>
      <c r="C12" s="14">
        <v>10787</v>
      </c>
      <c r="D12" s="14">
        <v>10844</v>
      </c>
      <c r="E12" s="14">
        <v>11710</v>
      </c>
      <c r="F12" s="14">
        <v>12209</v>
      </c>
      <c r="G12" s="14">
        <v>11757</v>
      </c>
      <c r="H12" s="14">
        <v>11159.2429</v>
      </c>
      <c r="I12" s="14">
        <v>10960.204429999998</v>
      </c>
      <c r="J12" s="14">
        <v>11724.97293</v>
      </c>
      <c r="K12" s="1">
        <v>13914.8628</v>
      </c>
      <c r="L12" s="244">
        <f>(K12-J12)*100/J12</f>
        <v>18.677142225180393</v>
      </c>
      <c r="M12" s="244">
        <f>(K12-AC12)*100/AC12</f>
        <v>39.03739808153478</v>
      </c>
      <c r="N12" s="14">
        <v>2867</v>
      </c>
      <c r="O12" s="14">
        <v>3078</v>
      </c>
      <c r="P12" s="14">
        <v>3082</v>
      </c>
      <c r="Q12" s="14">
        <v>3417</v>
      </c>
      <c r="R12" s="14">
        <v>3637</v>
      </c>
      <c r="S12" s="14">
        <v>3709</v>
      </c>
      <c r="T12" s="14">
        <v>3989</v>
      </c>
      <c r="U12" s="14">
        <v>4572</v>
      </c>
      <c r="V12" s="14">
        <f>5141765/1000</f>
        <v>5141.765</v>
      </c>
      <c r="W12" s="14">
        <v>5660</v>
      </c>
      <c r="X12" s="14">
        <v>5867</v>
      </c>
      <c r="Y12" s="14">
        <v>6228</v>
      </c>
      <c r="Z12" s="14">
        <v>6769</v>
      </c>
      <c r="AA12" s="14">
        <v>6681</v>
      </c>
      <c r="AB12" s="14">
        <v>8135</v>
      </c>
      <c r="AC12" s="14">
        <v>10008</v>
      </c>
      <c r="AD12" s="14"/>
      <c r="AE12" s="90">
        <v>9701581.53</v>
      </c>
      <c r="AF12" s="3">
        <f>AE12/1000</f>
        <v>9701.58153</v>
      </c>
      <c r="AH12" s="120">
        <v>10786918</v>
      </c>
      <c r="AI12" s="3">
        <f>AH12/1000</f>
        <v>10786.918</v>
      </c>
      <c r="AK12" s="3">
        <v>10844497</v>
      </c>
      <c r="AL12" s="3">
        <f>AK12/1000</f>
        <v>10844.497</v>
      </c>
      <c r="AN12" s="3">
        <v>11710150</v>
      </c>
      <c r="AO12" s="3">
        <f>AN12/1000</f>
        <v>11710.15</v>
      </c>
      <c r="AQ12" s="3">
        <v>12209097</v>
      </c>
      <c r="AR12" s="3">
        <f>AQ12/1000</f>
        <v>12209.097</v>
      </c>
      <c r="AT12" s="3">
        <v>11756739</v>
      </c>
      <c r="AU12" s="3">
        <f>AT12/1000</f>
        <v>11756.739</v>
      </c>
      <c r="AW12" s="3">
        <v>11159242.899999999</v>
      </c>
      <c r="AX12" s="3">
        <f>AW12/1000</f>
        <v>11159.2429</v>
      </c>
      <c r="AZ12" s="3">
        <v>10960204.429999998</v>
      </c>
      <c r="BA12" s="3">
        <f>AZ12/1000</f>
        <v>10960.204429999998</v>
      </c>
      <c r="BB12" s="3">
        <v>11724972.93</v>
      </c>
      <c r="BC12" s="3">
        <f>BB12/1000</f>
        <v>11724.97293</v>
      </c>
      <c r="BD12" s="3">
        <v>13914862.8</v>
      </c>
      <c r="BE12" s="3">
        <f>BD12/1000</f>
        <v>13914.8628</v>
      </c>
    </row>
    <row r="13" spans="1:57" ht="12.75">
      <c r="A13" s="1" t="s">
        <v>7</v>
      </c>
      <c r="B13" s="14">
        <v>29263</v>
      </c>
      <c r="C13" s="14">
        <v>32619</v>
      </c>
      <c r="D13" s="14">
        <v>36241</v>
      </c>
      <c r="E13" s="14">
        <v>39519</v>
      </c>
      <c r="F13" s="14">
        <v>43475</v>
      </c>
      <c r="G13" s="14">
        <v>44315</v>
      </c>
      <c r="H13" s="14">
        <v>44047.12501999999</v>
      </c>
      <c r="I13" s="14">
        <v>45951.599409999995</v>
      </c>
      <c r="J13" s="14">
        <v>45403.29018999999</v>
      </c>
      <c r="K13" s="1">
        <v>66816.46325</v>
      </c>
      <c r="L13" s="244">
        <f>(K13-J13)*100/J13</f>
        <v>47.162161531448284</v>
      </c>
      <c r="M13" s="244">
        <f>(K13-AC13)*100/AC13</f>
        <v>201.51833596570398</v>
      </c>
      <c r="N13" s="14">
        <v>10022</v>
      </c>
      <c r="O13" s="14">
        <v>10413</v>
      </c>
      <c r="P13" s="14">
        <v>12924</v>
      </c>
      <c r="Q13" s="14">
        <v>10820</v>
      </c>
      <c r="R13" s="14">
        <v>13425</v>
      </c>
      <c r="S13" s="14">
        <v>14249</v>
      </c>
      <c r="T13" s="14">
        <v>14066</v>
      </c>
      <c r="U13" s="14">
        <v>15669</v>
      </c>
      <c r="V13" s="14">
        <f>17273210/1000</f>
        <v>17273.21</v>
      </c>
      <c r="W13" s="14">
        <v>16818</v>
      </c>
      <c r="X13" s="14">
        <v>16930</v>
      </c>
      <c r="Y13" s="14">
        <v>17941</v>
      </c>
      <c r="Z13" s="14">
        <v>15365</v>
      </c>
      <c r="AA13" s="14">
        <v>18958</v>
      </c>
      <c r="AB13" s="14">
        <v>23140</v>
      </c>
      <c r="AC13" s="14">
        <v>22160</v>
      </c>
      <c r="AD13" s="14"/>
      <c r="AE13" s="90">
        <v>29262682.75</v>
      </c>
      <c r="AF13" s="3">
        <f>AE13/1000</f>
        <v>29262.68275</v>
      </c>
      <c r="AH13" s="120">
        <v>32619037</v>
      </c>
      <c r="AI13" s="3">
        <f>AH13/1000</f>
        <v>32619.037</v>
      </c>
      <c r="AK13" s="3">
        <v>36240602</v>
      </c>
      <c r="AL13" s="3">
        <f>AK13/1000</f>
        <v>36240.602</v>
      </c>
      <c r="AN13" s="3">
        <v>39518655</v>
      </c>
      <c r="AO13" s="3">
        <f>AN13/1000</f>
        <v>39518.655</v>
      </c>
      <c r="AQ13" s="3">
        <v>43475303</v>
      </c>
      <c r="AR13" s="3">
        <f>AQ13/1000</f>
        <v>43475.303</v>
      </c>
      <c r="AT13" s="3">
        <v>44314552</v>
      </c>
      <c r="AU13" s="3">
        <f>AT13/1000</f>
        <v>44314.552</v>
      </c>
      <c r="AW13" s="3">
        <v>44047125.019999996</v>
      </c>
      <c r="AX13" s="3">
        <f>AW13/1000</f>
        <v>44047.12501999999</v>
      </c>
      <c r="AZ13" s="3">
        <v>45951599.41</v>
      </c>
      <c r="BA13" s="3">
        <f>AZ13/1000</f>
        <v>45951.599409999995</v>
      </c>
      <c r="BB13" s="3">
        <v>45403290.18999999</v>
      </c>
      <c r="BC13" s="3">
        <f>BB13/1000</f>
        <v>45403.29018999999</v>
      </c>
      <c r="BD13" s="3">
        <v>66816463.25</v>
      </c>
      <c r="BE13" s="3">
        <f>BD13/1000</f>
        <v>66816.46325</v>
      </c>
    </row>
    <row r="14" spans="1:57" ht="12.75">
      <c r="A14" s="1" t="s">
        <v>8</v>
      </c>
      <c r="B14" s="14">
        <v>148228</v>
      </c>
      <c r="C14" s="14">
        <v>150340</v>
      </c>
      <c r="D14" s="14">
        <v>142798</v>
      </c>
      <c r="E14" s="14">
        <v>113610</v>
      </c>
      <c r="F14" s="14">
        <v>147471</v>
      </c>
      <c r="G14" s="14">
        <v>130645</v>
      </c>
      <c r="H14" s="14">
        <v>135244.78842</v>
      </c>
      <c r="I14" s="14">
        <v>162776.01142999995</v>
      </c>
      <c r="J14" s="14">
        <v>151498.89482</v>
      </c>
      <c r="K14" s="1">
        <v>232318.34558000005</v>
      </c>
      <c r="L14" s="244">
        <f>(K14-J14)*100/J14</f>
        <v>53.34656127757492</v>
      </c>
      <c r="M14" s="244">
        <f>(K14-AC14)*100/AC14</f>
        <v>116.18248490657342</v>
      </c>
      <c r="N14" s="14">
        <v>45795</v>
      </c>
      <c r="O14" s="14">
        <v>48609</v>
      </c>
      <c r="P14" s="14">
        <v>49575</v>
      </c>
      <c r="Q14" s="14">
        <v>51918</v>
      </c>
      <c r="R14" s="14">
        <v>55495</v>
      </c>
      <c r="S14" s="14">
        <v>61106</v>
      </c>
      <c r="T14" s="14">
        <v>68401</v>
      </c>
      <c r="U14" s="14">
        <v>77236</v>
      </c>
      <c r="V14" s="14">
        <f>83543443/1000</f>
        <v>83543.443</v>
      </c>
      <c r="W14" s="14">
        <v>75897</v>
      </c>
      <c r="X14" s="14">
        <v>78577</v>
      </c>
      <c r="Y14" s="14">
        <v>79756</v>
      </c>
      <c r="Z14" s="14">
        <v>99987</v>
      </c>
      <c r="AA14" s="14">
        <v>98507</v>
      </c>
      <c r="AB14" s="14">
        <v>107912</v>
      </c>
      <c r="AC14" s="14">
        <v>107464</v>
      </c>
      <c r="AD14" s="14"/>
      <c r="AE14" s="90">
        <v>148228409.92</v>
      </c>
      <c r="AF14" s="3">
        <f>AE14/1000</f>
        <v>148228.40991999998</v>
      </c>
      <c r="AH14" s="120">
        <v>150340122</v>
      </c>
      <c r="AI14" s="3">
        <f>AH14/1000</f>
        <v>150340.122</v>
      </c>
      <c r="AK14" s="3">
        <v>142797908</v>
      </c>
      <c r="AL14" s="3">
        <f>AK14/1000</f>
        <v>142797.908</v>
      </c>
      <c r="AN14" s="3">
        <v>113610304</v>
      </c>
      <c r="AO14" s="3">
        <f>AN14/1000</f>
        <v>113610.304</v>
      </c>
      <c r="AQ14" s="3">
        <v>147471453</v>
      </c>
      <c r="AR14" s="3">
        <f>AQ14/1000</f>
        <v>147471.453</v>
      </c>
      <c r="AT14" s="3">
        <v>130645202</v>
      </c>
      <c r="AU14" s="3">
        <f>AT14/1000</f>
        <v>130645.202</v>
      </c>
      <c r="AW14" s="3">
        <v>135244788.42</v>
      </c>
      <c r="AX14" s="3">
        <f>AW14/1000</f>
        <v>135244.78842</v>
      </c>
      <c r="AZ14" s="3">
        <v>162776011.42999995</v>
      </c>
      <c r="BA14" s="3">
        <f>AZ14/1000</f>
        <v>162776.01142999995</v>
      </c>
      <c r="BB14" s="3">
        <v>151498894.82</v>
      </c>
      <c r="BC14" s="3">
        <f>BB14/1000</f>
        <v>151498.89482</v>
      </c>
      <c r="BD14" s="3">
        <v>232318345.58000004</v>
      </c>
      <c r="BE14" s="3">
        <f>BD14/1000</f>
        <v>232318.34558000005</v>
      </c>
    </row>
    <row r="15" spans="1:57" ht="12.75">
      <c r="A15" s="1" t="s">
        <v>9</v>
      </c>
      <c r="B15" s="14">
        <v>46767</v>
      </c>
      <c r="C15" s="14">
        <v>51438</v>
      </c>
      <c r="D15" s="14">
        <v>61460</v>
      </c>
      <c r="E15" s="14">
        <v>67682</v>
      </c>
      <c r="F15" s="14">
        <v>75162</v>
      </c>
      <c r="G15" s="14">
        <v>84271</v>
      </c>
      <c r="H15" s="14">
        <v>90996.1826</v>
      </c>
      <c r="I15" s="14">
        <v>81476.79428999999</v>
      </c>
      <c r="J15" s="14">
        <v>73978.95693999999</v>
      </c>
      <c r="K15" s="1">
        <v>111866.69645999999</v>
      </c>
      <c r="L15" s="244">
        <f>(K15-J15)*100/J15</f>
        <v>51.21421156387557</v>
      </c>
      <c r="M15" s="244">
        <f>(K15-AC15)*100/AC15</f>
        <v>163.04864312084084</v>
      </c>
      <c r="N15" s="14">
        <v>10271</v>
      </c>
      <c r="O15" s="14">
        <v>10596</v>
      </c>
      <c r="P15" s="14">
        <v>10861</v>
      </c>
      <c r="Q15" s="14">
        <v>11208</v>
      </c>
      <c r="R15" s="14">
        <v>12554</v>
      </c>
      <c r="S15" s="14">
        <v>13570</v>
      </c>
      <c r="T15" s="14">
        <v>14633</v>
      </c>
      <c r="U15" s="14">
        <v>15802</v>
      </c>
      <c r="V15" s="14">
        <f>17104138/1000</f>
        <v>17104.138</v>
      </c>
      <c r="W15" s="14">
        <v>25374</v>
      </c>
      <c r="X15" s="14">
        <v>27499</v>
      </c>
      <c r="Y15" s="14">
        <v>26910</v>
      </c>
      <c r="Z15" s="14">
        <v>34839</v>
      </c>
      <c r="AA15" s="14">
        <v>37629</v>
      </c>
      <c r="AB15" s="14">
        <v>37275</v>
      </c>
      <c r="AC15" s="14">
        <v>42527</v>
      </c>
      <c r="AD15" s="14"/>
      <c r="AE15" s="90">
        <v>46767234.05</v>
      </c>
      <c r="AF15" s="3">
        <f>AE15/1000</f>
        <v>46767.23405</v>
      </c>
      <c r="AH15" s="120">
        <v>51437727</v>
      </c>
      <c r="AI15" s="3">
        <f>AH15/1000</f>
        <v>51437.727</v>
      </c>
      <c r="AK15" s="3">
        <v>61459955</v>
      </c>
      <c r="AL15" s="3">
        <f>AK15/1000</f>
        <v>61459.955</v>
      </c>
      <c r="AN15" s="3">
        <v>67681614</v>
      </c>
      <c r="AO15" s="3">
        <f>AN15/1000</f>
        <v>67681.614</v>
      </c>
      <c r="AQ15" s="3">
        <v>75161578</v>
      </c>
      <c r="AR15" s="3">
        <f>AQ15/1000</f>
        <v>75161.578</v>
      </c>
      <c r="AT15" s="3">
        <v>84270817</v>
      </c>
      <c r="AU15" s="3">
        <f>AT15/1000</f>
        <v>84270.817</v>
      </c>
      <c r="AW15" s="3">
        <v>90996182.6</v>
      </c>
      <c r="AX15" s="3">
        <f>AW15/1000</f>
        <v>90996.1826</v>
      </c>
      <c r="AZ15" s="3">
        <v>81476794.28999999</v>
      </c>
      <c r="BA15" s="3">
        <f>AZ15/1000</f>
        <v>81476.79428999999</v>
      </c>
      <c r="BB15" s="3">
        <v>73978956.93999998</v>
      </c>
      <c r="BC15" s="3">
        <f>BB15/1000</f>
        <v>73978.95693999999</v>
      </c>
      <c r="BD15" s="3">
        <v>111866696.46</v>
      </c>
      <c r="BE15" s="3">
        <f>BD15/1000</f>
        <v>111866.69645999999</v>
      </c>
    </row>
    <row r="16" spans="1:57" ht="12.75">
      <c r="A16" s="1" t="s">
        <v>10</v>
      </c>
      <c r="B16" s="14">
        <v>6178</v>
      </c>
      <c r="C16" s="14">
        <v>7001</v>
      </c>
      <c r="D16" s="14">
        <v>7545</v>
      </c>
      <c r="E16" s="14">
        <v>8781</v>
      </c>
      <c r="F16" s="14">
        <v>8236</v>
      </c>
      <c r="G16" s="14">
        <v>8337</v>
      </c>
      <c r="H16" s="14">
        <v>7345.688159999999</v>
      </c>
      <c r="I16" s="14">
        <v>7939.80723</v>
      </c>
      <c r="J16" s="14">
        <v>7817.633059999999</v>
      </c>
      <c r="K16" s="1">
        <v>11650.43266</v>
      </c>
      <c r="L16" s="244">
        <f>(K16-J16)*100/J16</f>
        <v>49.02762217903333</v>
      </c>
      <c r="M16" s="244">
        <f>(K16-AC16)*100/AC16</f>
        <v>127.99281135029355</v>
      </c>
      <c r="N16" s="14">
        <v>1578</v>
      </c>
      <c r="O16" s="14">
        <v>1737</v>
      </c>
      <c r="P16" s="14">
        <v>1619</v>
      </c>
      <c r="Q16" s="14">
        <v>1632</v>
      </c>
      <c r="R16" s="14">
        <v>1861</v>
      </c>
      <c r="S16" s="14">
        <v>1918</v>
      </c>
      <c r="T16" s="14">
        <v>2355</v>
      </c>
      <c r="U16" s="14">
        <v>2330</v>
      </c>
      <c r="V16" s="14">
        <f>2701527/1000</f>
        <v>2701.527</v>
      </c>
      <c r="W16" s="14">
        <v>2770</v>
      </c>
      <c r="X16" s="14">
        <v>2791</v>
      </c>
      <c r="Y16" s="14">
        <v>2835</v>
      </c>
      <c r="Z16" s="14">
        <v>3145</v>
      </c>
      <c r="AA16" s="14">
        <v>3644</v>
      </c>
      <c r="AB16" s="14">
        <v>4413</v>
      </c>
      <c r="AC16" s="14">
        <v>5110</v>
      </c>
      <c r="AD16" s="14"/>
      <c r="AE16" s="90">
        <v>6178363.54</v>
      </c>
      <c r="AF16" s="3">
        <f>AE16/1000</f>
        <v>6178.36354</v>
      </c>
      <c r="AH16" s="120">
        <v>7000997</v>
      </c>
      <c r="AI16" s="3">
        <f>AH16/1000</f>
        <v>7000.997</v>
      </c>
      <c r="AK16" s="3">
        <v>7545469</v>
      </c>
      <c r="AL16" s="3">
        <f>AK16/1000</f>
        <v>7545.469</v>
      </c>
      <c r="AN16" s="3">
        <v>8781393</v>
      </c>
      <c r="AO16" s="3">
        <f>AN16/1000</f>
        <v>8781.393</v>
      </c>
      <c r="AQ16" s="3">
        <v>8236236</v>
      </c>
      <c r="AR16" s="3">
        <f>AQ16/1000</f>
        <v>8236.236</v>
      </c>
      <c r="AT16" s="3">
        <v>8337300</v>
      </c>
      <c r="AU16" s="3">
        <f>AT16/1000</f>
        <v>8337.3</v>
      </c>
      <c r="AW16" s="3">
        <v>7345688.159999999</v>
      </c>
      <c r="AX16" s="3">
        <f>AW16/1000</f>
        <v>7345.688159999999</v>
      </c>
      <c r="AZ16" s="3">
        <v>7939807.23</v>
      </c>
      <c r="BA16" s="3">
        <f>AZ16/1000</f>
        <v>7939.80723</v>
      </c>
      <c r="BB16" s="3">
        <v>7817633.06</v>
      </c>
      <c r="BC16" s="3">
        <f>BB16/1000</f>
        <v>7817.633059999999</v>
      </c>
      <c r="BD16" s="3">
        <v>11650432.66</v>
      </c>
      <c r="BE16" s="3">
        <f>BD16/1000</f>
        <v>11650.43266</v>
      </c>
    </row>
    <row r="17" spans="2:34" ht="12.75">
      <c r="B17" s="14"/>
      <c r="C17" s="14"/>
      <c r="D17" s="14"/>
      <c r="E17" s="14"/>
      <c r="F17" s="14"/>
      <c r="G17" s="14"/>
      <c r="H17" s="14"/>
      <c r="I17" s="14"/>
      <c r="J17" s="14"/>
      <c r="L17" s="244"/>
      <c r="M17" s="2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30"/>
      <c r="AH17" s="120"/>
    </row>
    <row r="18" spans="1:57" ht="12.75">
      <c r="A18" s="1" t="s">
        <v>11</v>
      </c>
      <c r="B18" s="14">
        <v>3549</v>
      </c>
      <c r="C18" s="14">
        <v>4620</v>
      </c>
      <c r="D18" s="14">
        <v>4723</v>
      </c>
      <c r="E18" s="14">
        <v>4924</v>
      </c>
      <c r="F18" s="14">
        <v>5025</v>
      </c>
      <c r="G18" s="14">
        <v>5459</v>
      </c>
      <c r="H18" s="14">
        <v>4978.95444</v>
      </c>
      <c r="I18" s="14">
        <v>5495.37021</v>
      </c>
      <c r="J18" s="14">
        <v>5272.434640000001</v>
      </c>
      <c r="K18" s="1">
        <v>8297.64954</v>
      </c>
      <c r="L18" s="244">
        <f>(K18-J18)*100/J18</f>
        <v>57.37794978146942</v>
      </c>
      <c r="M18" s="244">
        <f>(K18-AC18)*100/AC18</f>
        <v>155.46950554187194</v>
      </c>
      <c r="N18" s="14">
        <v>1157</v>
      </c>
      <c r="O18" s="14">
        <v>1134</v>
      </c>
      <c r="P18" s="14">
        <v>1180</v>
      </c>
      <c r="Q18" s="14">
        <v>1274</v>
      </c>
      <c r="R18" s="14">
        <v>1469</v>
      </c>
      <c r="S18" s="14">
        <v>1497</v>
      </c>
      <c r="T18" s="14">
        <v>1587</v>
      </c>
      <c r="U18" s="14">
        <v>1666</v>
      </c>
      <c r="V18" s="14">
        <f>1889535/1000</f>
        <v>1889.535</v>
      </c>
      <c r="W18" s="14">
        <v>2119</v>
      </c>
      <c r="X18" s="14">
        <v>2198</v>
      </c>
      <c r="Y18" s="14">
        <v>2503</v>
      </c>
      <c r="Z18" s="14">
        <v>2455</v>
      </c>
      <c r="AA18" s="14">
        <v>2437</v>
      </c>
      <c r="AB18" s="14">
        <v>3092</v>
      </c>
      <c r="AC18" s="14">
        <v>3248</v>
      </c>
      <c r="AD18" s="14"/>
      <c r="AE18" s="90">
        <v>3548623.45</v>
      </c>
      <c r="AF18" s="3">
        <f>AE18/1000</f>
        <v>3548.62345</v>
      </c>
      <c r="AH18" s="120">
        <v>4619511.04</v>
      </c>
      <c r="AI18" s="3">
        <f>AH18/1000</f>
        <v>4619.51104</v>
      </c>
      <c r="AK18" s="3">
        <v>4723428.42</v>
      </c>
      <c r="AL18" s="3">
        <f>AK18/1000</f>
        <v>4723.42842</v>
      </c>
      <c r="AN18" s="3">
        <v>4924429.5</v>
      </c>
      <c r="AO18" s="3">
        <f>AN18/1000</f>
        <v>4924.4295</v>
      </c>
      <c r="AQ18" s="3">
        <v>5024730.95</v>
      </c>
      <c r="AR18" s="3">
        <f>AQ18/1000</f>
        <v>5024.73095</v>
      </c>
      <c r="AT18" s="3">
        <v>5458530</v>
      </c>
      <c r="AU18" s="3">
        <f>AT18/1000</f>
        <v>5458.53</v>
      </c>
      <c r="AW18" s="3">
        <v>4978954.44</v>
      </c>
      <c r="AX18" s="3">
        <f>AW18/1000</f>
        <v>4978.95444</v>
      </c>
      <c r="AZ18" s="3">
        <v>5495370.21</v>
      </c>
      <c r="BA18" s="3">
        <f>AZ18/1000</f>
        <v>5495.37021</v>
      </c>
      <c r="BB18" s="3">
        <v>5272434.6400000015</v>
      </c>
      <c r="BC18" s="3">
        <f>BB18/1000</f>
        <v>5272.434640000001</v>
      </c>
      <c r="BD18" s="3">
        <v>8297649.54</v>
      </c>
      <c r="BE18" s="3">
        <f>BD18/1000</f>
        <v>8297.64954</v>
      </c>
    </row>
    <row r="19" spans="1:57" ht="12.75">
      <c r="A19" s="1" t="s">
        <v>12</v>
      </c>
      <c r="B19" s="14">
        <v>8639</v>
      </c>
      <c r="C19" s="14">
        <v>9611</v>
      </c>
      <c r="D19" s="14">
        <v>11984</v>
      </c>
      <c r="E19" s="14">
        <v>13144</v>
      </c>
      <c r="F19" s="14">
        <v>13046</v>
      </c>
      <c r="G19" s="14">
        <v>13604</v>
      </c>
      <c r="H19" s="14">
        <v>11414.34369</v>
      </c>
      <c r="I19" s="14">
        <v>12268.21239</v>
      </c>
      <c r="J19" s="14">
        <v>12674.67497</v>
      </c>
      <c r="K19" s="1">
        <v>17381.510130000002</v>
      </c>
      <c r="L19" s="244">
        <f>(K19-J19)*100/J19</f>
        <v>37.135746448257855</v>
      </c>
      <c r="M19" s="244">
        <f>(K19-AC19)*100/AC19</f>
        <v>151.03278639514735</v>
      </c>
      <c r="N19" s="14">
        <v>2234</v>
      </c>
      <c r="O19" s="14">
        <v>2423</v>
      </c>
      <c r="P19" s="14">
        <v>2461</v>
      </c>
      <c r="Q19" s="14">
        <v>2486</v>
      </c>
      <c r="R19" s="14">
        <v>2628</v>
      </c>
      <c r="S19" s="14">
        <v>2922</v>
      </c>
      <c r="T19" s="14">
        <v>3230</v>
      </c>
      <c r="U19" s="14">
        <v>3768</v>
      </c>
      <c r="V19" s="14">
        <f>4308882/1000</f>
        <v>4308.882</v>
      </c>
      <c r="W19" s="14">
        <v>4525</v>
      </c>
      <c r="X19" s="14">
        <v>4786</v>
      </c>
      <c r="Y19" s="14">
        <v>4526</v>
      </c>
      <c r="Z19" s="14">
        <v>4633</v>
      </c>
      <c r="AA19" s="14">
        <v>4990</v>
      </c>
      <c r="AB19" s="14">
        <v>6397</v>
      </c>
      <c r="AC19" s="14">
        <v>6924</v>
      </c>
      <c r="AD19" s="14"/>
      <c r="AE19" s="90">
        <v>8638568.32</v>
      </c>
      <c r="AF19" s="3">
        <f>AE19/1000</f>
        <v>8638.56832</v>
      </c>
      <c r="AH19" s="120">
        <v>9611031</v>
      </c>
      <c r="AI19" s="3">
        <f>AH19/1000</f>
        <v>9611.031</v>
      </c>
      <c r="AK19" s="3">
        <v>11983586</v>
      </c>
      <c r="AL19" s="3">
        <f>AK19/1000</f>
        <v>11983.586</v>
      </c>
      <c r="AN19" s="3">
        <v>13143958</v>
      </c>
      <c r="AO19" s="3">
        <f>AN19/1000</f>
        <v>13143.958</v>
      </c>
      <c r="AQ19" s="3">
        <v>13045698</v>
      </c>
      <c r="AR19" s="3">
        <f>AQ19/1000</f>
        <v>13045.698</v>
      </c>
      <c r="AT19" s="3">
        <v>13603656</v>
      </c>
      <c r="AU19" s="3">
        <f>AT19/1000</f>
        <v>13603.656</v>
      </c>
      <c r="AW19" s="3">
        <v>11414343.69</v>
      </c>
      <c r="AX19" s="3">
        <f>AW19/1000</f>
        <v>11414.34369</v>
      </c>
      <c r="AZ19" s="3">
        <v>12268212.39</v>
      </c>
      <c r="BA19" s="3">
        <f>AZ19/1000</f>
        <v>12268.21239</v>
      </c>
      <c r="BB19" s="3">
        <v>12674674.97</v>
      </c>
      <c r="BC19" s="3">
        <f>BB19/1000</f>
        <v>12674.67497</v>
      </c>
      <c r="BD19" s="3">
        <v>17381510.130000003</v>
      </c>
      <c r="BE19" s="3">
        <f>BD19/1000</f>
        <v>17381.510130000002</v>
      </c>
    </row>
    <row r="20" spans="1:57" ht="12.75">
      <c r="A20" s="1" t="s">
        <v>13</v>
      </c>
      <c r="B20" s="14">
        <v>7167</v>
      </c>
      <c r="C20" s="14">
        <v>8469</v>
      </c>
      <c r="D20" s="14">
        <v>9014</v>
      </c>
      <c r="E20" s="14">
        <v>9789</v>
      </c>
      <c r="F20" s="14">
        <v>10176</v>
      </c>
      <c r="G20" s="14">
        <v>9985</v>
      </c>
      <c r="H20" s="14">
        <v>9882.642880000001</v>
      </c>
      <c r="I20" s="14">
        <v>10041.676049999998</v>
      </c>
      <c r="J20" s="14">
        <v>10948.470459999999</v>
      </c>
      <c r="K20" s="1">
        <v>15982.101990000001</v>
      </c>
      <c r="L20" s="244">
        <f>(K20-J20)*100/J20</f>
        <v>45.9756597817957</v>
      </c>
      <c r="M20" s="244">
        <f>(K20-AC20)*100/AC20</f>
        <v>167.48287849372386</v>
      </c>
      <c r="N20" s="14">
        <v>1843</v>
      </c>
      <c r="O20" s="14">
        <v>2009</v>
      </c>
      <c r="P20" s="14">
        <v>2080</v>
      </c>
      <c r="Q20" s="14">
        <v>2141</v>
      </c>
      <c r="R20" s="14">
        <v>2143</v>
      </c>
      <c r="S20" s="14">
        <v>2404</v>
      </c>
      <c r="T20" s="14">
        <v>2441</v>
      </c>
      <c r="U20" s="14">
        <v>2714</v>
      </c>
      <c r="V20" s="14">
        <f>3030411/1000</f>
        <v>3030.411</v>
      </c>
      <c r="W20" s="14">
        <v>3502</v>
      </c>
      <c r="X20" s="14">
        <v>3774</v>
      </c>
      <c r="Y20" s="14">
        <v>3672</v>
      </c>
      <c r="Z20" s="14">
        <v>3914</v>
      </c>
      <c r="AA20" s="14">
        <v>4527</v>
      </c>
      <c r="AB20" s="14">
        <v>5495</v>
      </c>
      <c r="AC20" s="14">
        <v>5975</v>
      </c>
      <c r="AD20" s="14"/>
      <c r="AE20" s="90">
        <v>7167279.97</v>
      </c>
      <c r="AF20" s="3">
        <f>AE20/1000</f>
        <v>7167.27997</v>
      </c>
      <c r="AH20" s="120">
        <v>8468708</v>
      </c>
      <c r="AI20" s="3">
        <f>AH20/1000</f>
        <v>8468.708</v>
      </c>
      <c r="AK20" s="3">
        <v>9014282</v>
      </c>
      <c r="AL20" s="3">
        <f>AK20/1000</f>
        <v>9014.282</v>
      </c>
      <c r="AN20" s="3">
        <v>9789152</v>
      </c>
      <c r="AO20" s="3">
        <f>AN20/1000</f>
        <v>9789.152</v>
      </c>
      <c r="AQ20" s="3">
        <v>10175706</v>
      </c>
      <c r="AR20" s="3">
        <f>AQ20/1000</f>
        <v>10175.706</v>
      </c>
      <c r="AT20" s="3">
        <v>9985010</v>
      </c>
      <c r="AU20" s="3">
        <f>AT20/1000</f>
        <v>9985.01</v>
      </c>
      <c r="AW20" s="3">
        <v>9882642.88</v>
      </c>
      <c r="AX20" s="3">
        <f>AW20/1000</f>
        <v>9882.642880000001</v>
      </c>
      <c r="AZ20" s="3">
        <v>10041676.049999999</v>
      </c>
      <c r="BA20" s="3">
        <f>AZ20/1000</f>
        <v>10041.676049999998</v>
      </c>
      <c r="BB20" s="3">
        <v>10948470.459999999</v>
      </c>
      <c r="BC20" s="3">
        <f>BB20/1000</f>
        <v>10948.470459999999</v>
      </c>
      <c r="BD20" s="3">
        <v>15982101.99</v>
      </c>
      <c r="BE20" s="3">
        <f>BD20/1000</f>
        <v>15982.101990000001</v>
      </c>
    </row>
    <row r="21" spans="1:57" ht="12.75">
      <c r="A21" s="1" t="s">
        <v>14</v>
      </c>
      <c r="B21" s="14">
        <v>9045</v>
      </c>
      <c r="C21" s="14">
        <v>10022</v>
      </c>
      <c r="D21" s="14">
        <v>12243</v>
      </c>
      <c r="E21" s="14">
        <v>13581</v>
      </c>
      <c r="F21" s="14">
        <v>14384</v>
      </c>
      <c r="G21" s="14">
        <v>14364</v>
      </c>
      <c r="H21" s="14">
        <v>12879.96377</v>
      </c>
      <c r="I21" s="14">
        <v>14598.95504</v>
      </c>
      <c r="J21" s="14">
        <v>16060.923339999998</v>
      </c>
      <c r="K21" s="1">
        <v>22742.327450000004</v>
      </c>
      <c r="L21" s="244">
        <f>(K21-J21)*100/J21</f>
        <v>41.600373581012356</v>
      </c>
      <c r="M21" s="244">
        <f>(K21-AC21)*100/AC21</f>
        <v>176.09964125288337</v>
      </c>
      <c r="N21" s="14">
        <v>3077</v>
      </c>
      <c r="O21" s="14">
        <v>3389</v>
      </c>
      <c r="P21" s="14">
        <v>3387</v>
      </c>
      <c r="Q21" s="14">
        <v>3378</v>
      </c>
      <c r="R21" s="14">
        <v>3452</v>
      </c>
      <c r="S21" s="14">
        <v>4055</v>
      </c>
      <c r="T21" s="14">
        <v>3792</v>
      </c>
      <c r="U21" s="14">
        <v>4697</v>
      </c>
      <c r="V21" s="14">
        <f>5160627/1000</f>
        <v>5160.627</v>
      </c>
      <c r="W21" s="14">
        <v>5468</v>
      </c>
      <c r="X21" s="14">
        <v>5570</v>
      </c>
      <c r="Y21" s="14">
        <v>5085</v>
      </c>
      <c r="Z21" s="14">
        <v>4982</v>
      </c>
      <c r="AA21" s="14">
        <v>5929</v>
      </c>
      <c r="AB21" s="14">
        <v>7204</v>
      </c>
      <c r="AC21" s="14">
        <v>8237</v>
      </c>
      <c r="AD21" s="14"/>
      <c r="AE21" s="90">
        <v>9045458.01</v>
      </c>
      <c r="AF21" s="3">
        <f>AE21/1000</f>
        <v>9045.45801</v>
      </c>
      <c r="AH21" s="120">
        <v>10021550</v>
      </c>
      <c r="AI21" s="3">
        <f>AH21/1000</f>
        <v>10021.55</v>
      </c>
      <c r="AK21" s="3">
        <v>12243450</v>
      </c>
      <c r="AL21" s="3">
        <f>AK21/1000</f>
        <v>12243.45</v>
      </c>
      <c r="AN21" s="3">
        <v>13580722</v>
      </c>
      <c r="AO21" s="3">
        <f>AN21/1000</f>
        <v>13580.722</v>
      </c>
      <c r="AQ21" s="3">
        <v>14384371</v>
      </c>
      <c r="AR21" s="3">
        <f>AQ21/1000</f>
        <v>14384.371</v>
      </c>
      <c r="AT21" s="3">
        <v>14363549</v>
      </c>
      <c r="AU21" s="3">
        <f>AT21/1000</f>
        <v>14363.549</v>
      </c>
      <c r="AW21" s="3">
        <v>12879963.77</v>
      </c>
      <c r="AX21" s="3">
        <f>AW21/1000</f>
        <v>12879.96377</v>
      </c>
      <c r="AZ21" s="3">
        <v>14598955.040000001</v>
      </c>
      <c r="BA21" s="3">
        <f>AZ21/1000</f>
        <v>14598.95504</v>
      </c>
      <c r="BB21" s="3">
        <v>16060923.339999998</v>
      </c>
      <c r="BC21" s="3">
        <f>BB21/1000</f>
        <v>16060.923339999998</v>
      </c>
      <c r="BD21" s="3">
        <v>22742327.450000003</v>
      </c>
      <c r="BE21" s="3">
        <f>BD21/1000</f>
        <v>22742.327450000004</v>
      </c>
    </row>
    <row r="22" spans="1:57" ht="12.75">
      <c r="A22" s="1" t="s">
        <v>15</v>
      </c>
      <c r="B22" s="14">
        <v>5291</v>
      </c>
      <c r="C22" s="14">
        <v>5086</v>
      </c>
      <c r="D22" s="14">
        <v>5616</v>
      </c>
      <c r="E22" s="14">
        <v>5182</v>
      </c>
      <c r="F22" s="14">
        <v>6099</v>
      </c>
      <c r="G22" s="14">
        <v>5757</v>
      </c>
      <c r="H22" s="14">
        <v>6013.612889999999</v>
      </c>
      <c r="I22" s="14">
        <v>6407.630549999999</v>
      </c>
      <c r="J22" s="14">
        <v>5906.453199999999</v>
      </c>
      <c r="K22" s="1">
        <v>7370.43899</v>
      </c>
      <c r="L22" s="244">
        <f>(K22-J22)*100/J22</f>
        <v>24.786208244230238</v>
      </c>
      <c r="M22" s="244">
        <f>(K22-AC22)*100/AC22</f>
        <v>50.47854205798284</v>
      </c>
      <c r="N22" s="14">
        <v>1672</v>
      </c>
      <c r="O22" s="14">
        <v>1929</v>
      </c>
      <c r="P22" s="14">
        <v>1857</v>
      </c>
      <c r="Q22" s="14">
        <v>1998</v>
      </c>
      <c r="R22" s="14">
        <v>2331</v>
      </c>
      <c r="S22" s="14">
        <v>2610</v>
      </c>
      <c r="T22" s="14">
        <v>2865</v>
      </c>
      <c r="U22" s="14">
        <v>3145</v>
      </c>
      <c r="V22" s="14">
        <f>3241113/1000</f>
        <v>3241.113</v>
      </c>
      <c r="W22" s="14">
        <v>3078</v>
      </c>
      <c r="X22" s="14">
        <v>2968</v>
      </c>
      <c r="Y22" s="14">
        <v>2977</v>
      </c>
      <c r="Z22" s="14">
        <v>3325</v>
      </c>
      <c r="AA22" s="14">
        <v>3445</v>
      </c>
      <c r="AB22" s="14">
        <v>3624</v>
      </c>
      <c r="AC22" s="14">
        <v>4898</v>
      </c>
      <c r="AD22" s="14"/>
      <c r="AE22" s="90">
        <v>5291435.5</v>
      </c>
      <c r="AF22" s="3">
        <f>AE22/1000</f>
        <v>5291.4355</v>
      </c>
      <c r="AH22" s="120">
        <v>5086031.85</v>
      </c>
      <c r="AI22" s="3">
        <f>AH22/1000</f>
        <v>5086.031849999999</v>
      </c>
      <c r="AK22" s="3">
        <v>5616463</v>
      </c>
      <c r="AL22" s="3">
        <f>AK22/1000</f>
        <v>5616.463</v>
      </c>
      <c r="AN22" s="3">
        <v>5182023.92</v>
      </c>
      <c r="AO22" s="3">
        <f>AN22/1000</f>
        <v>5182.02392</v>
      </c>
      <c r="AQ22" s="3">
        <v>6098517</v>
      </c>
      <c r="AR22" s="3">
        <f>AQ22/1000</f>
        <v>6098.517</v>
      </c>
      <c r="AT22" s="3">
        <v>5757479</v>
      </c>
      <c r="AU22" s="3">
        <f>AT22/1000</f>
        <v>5757.479</v>
      </c>
      <c r="AW22" s="3">
        <v>6013612.89</v>
      </c>
      <c r="AX22" s="3">
        <f>AW22/1000</f>
        <v>6013.612889999999</v>
      </c>
      <c r="AZ22" s="3">
        <v>6407630.549999999</v>
      </c>
      <c r="BA22" s="3">
        <f>AZ22/1000</f>
        <v>6407.630549999999</v>
      </c>
      <c r="BB22" s="3">
        <v>5906453.199999999</v>
      </c>
      <c r="BC22" s="3">
        <f>BB22/1000</f>
        <v>5906.453199999999</v>
      </c>
      <c r="BD22" s="3">
        <v>7370438.989999999</v>
      </c>
      <c r="BE22" s="3">
        <f>BD22/1000</f>
        <v>7370.43899</v>
      </c>
    </row>
    <row r="23" spans="2:34" ht="12.75">
      <c r="B23" s="14"/>
      <c r="C23" s="14"/>
      <c r="D23" s="14"/>
      <c r="E23" s="14"/>
      <c r="F23" s="14"/>
      <c r="G23" s="14"/>
      <c r="H23" s="14"/>
      <c r="I23" s="14"/>
      <c r="J23" s="14"/>
      <c r="L23" s="244"/>
      <c r="M23" s="24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30"/>
      <c r="AH23" s="120"/>
    </row>
    <row r="24" spans="1:57" ht="12.75">
      <c r="A24" s="1" t="s">
        <v>16</v>
      </c>
      <c r="B24" s="14">
        <v>10691</v>
      </c>
      <c r="C24" s="14">
        <v>13395</v>
      </c>
      <c r="D24" s="14">
        <v>14906</v>
      </c>
      <c r="E24" s="14">
        <v>15571</v>
      </c>
      <c r="F24" s="14">
        <v>16917</v>
      </c>
      <c r="G24" s="14">
        <v>16593</v>
      </c>
      <c r="H24" s="14">
        <v>16747.507189999997</v>
      </c>
      <c r="I24" s="14">
        <v>17552.33715</v>
      </c>
      <c r="J24" s="14">
        <v>18497.625489999995</v>
      </c>
      <c r="K24" s="1">
        <v>29320.564779999997</v>
      </c>
      <c r="L24" s="244">
        <f>(K24-J24)*100/J24</f>
        <v>58.50988439489703</v>
      </c>
      <c r="M24" s="244">
        <f>(K24-AC24)*100/AC24</f>
        <v>195.00517939430523</v>
      </c>
      <c r="N24" s="14">
        <v>3150</v>
      </c>
      <c r="O24" s="14">
        <v>3346</v>
      </c>
      <c r="P24" s="14">
        <v>3382</v>
      </c>
      <c r="Q24" s="14">
        <v>3761</v>
      </c>
      <c r="R24" s="14">
        <v>4075</v>
      </c>
      <c r="S24" s="14">
        <v>4007</v>
      </c>
      <c r="T24" s="14">
        <v>4593</v>
      </c>
      <c r="U24" s="14">
        <v>5002</v>
      </c>
      <c r="V24" s="14">
        <f>5526644/1000</f>
        <v>5526.644</v>
      </c>
      <c r="W24" s="14">
        <v>5726</v>
      </c>
      <c r="X24" s="14">
        <v>6265</v>
      </c>
      <c r="Y24" s="14">
        <v>6355</v>
      </c>
      <c r="Z24" s="14">
        <v>5971</v>
      </c>
      <c r="AA24" s="14">
        <v>7285</v>
      </c>
      <c r="AB24" s="14">
        <v>8922</v>
      </c>
      <c r="AC24" s="14">
        <v>9939</v>
      </c>
      <c r="AD24" s="14"/>
      <c r="AE24" s="90">
        <v>10690803.43</v>
      </c>
      <c r="AF24" s="3">
        <f>AE24/1000</f>
        <v>10690.80343</v>
      </c>
      <c r="AH24" s="120">
        <v>13394817</v>
      </c>
      <c r="AI24" s="3">
        <f>AH24/1000</f>
        <v>13394.817</v>
      </c>
      <c r="AK24" s="3">
        <v>14905849</v>
      </c>
      <c r="AL24" s="3">
        <f>AK24/1000</f>
        <v>14905.849</v>
      </c>
      <c r="AN24" s="3">
        <v>15571457</v>
      </c>
      <c r="AO24" s="3">
        <f>AN24/1000</f>
        <v>15571.457</v>
      </c>
      <c r="AQ24" s="3">
        <v>16916810</v>
      </c>
      <c r="AR24" s="3">
        <f>AQ24/1000</f>
        <v>16916.81</v>
      </c>
      <c r="AT24" s="3">
        <v>16592598</v>
      </c>
      <c r="AU24" s="3">
        <f>AT24/1000</f>
        <v>16592.598</v>
      </c>
      <c r="AW24" s="3">
        <v>16747507.189999998</v>
      </c>
      <c r="AX24" s="3">
        <f>AW24/1000</f>
        <v>16747.507189999997</v>
      </c>
      <c r="AZ24" s="3">
        <v>17552337.15</v>
      </c>
      <c r="BA24" s="3">
        <f aca="true" t="shared" si="3" ref="BA24:BE39">AZ24/1000</f>
        <v>17552.33715</v>
      </c>
      <c r="BB24" s="3">
        <v>18497625.489999995</v>
      </c>
      <c r="BC24" s="3">
        <f t="shared" si="3"/>
        <v>18497.625489999995</v>
      </c>
      <c r="BD24" s="3">
        <v>29320564.779999997</v>
      </c>
      <c r="BE24" s="3">
        <f t="shared" si="3"/>
        <v>29320.564779999997</v>
      </c>
    </row>
    <row r="25" spans="1:57" ht="12.75">
      <c r="A25" s="1" t="s">
        <v>17</v>
      </c>
      <c r="B25" s="14">
        <v>4597</v>
      </c>
      <c r="C25" s="14">
        <v>5006</v>
      </c>
      <c r="D25" s="14">
        <v>4798</v>
      </c>
      <c r="E25" s="14">
        <v>5111</v>
      </c>
      <c r="F25" s="14">
        <v>5040</v>
      </c>
      <c r="G25" s="14">
        <v>5274</v>
      </c>
      <c r="H25" s="14">
        <v>5121.41216</v>
      </c>
      <c r="I25" s="14">
        <v>5003.5885</v>
      </c>
      <c r="J25" s="14">
        <v>5056.069189999998</v>
      </c>
      <c r="K25" s="1">
        <v>6736.941339999999</v>
      </c>
      <c r="L25" s="244">
        <f>(K25-J25)*100/J25</f>
        <v>33.24464295948454</v>
      </c>
      <c r="M25" s="244">
        <f>(K25-AC25)*100/AC25</f>
        <v>68.50778739369684</v>
      </c>
      <c r="N25" s="14">
        <v>1605</v>
      </c>
      <c r="O25" s="14">
        <v>1885</v>
      </c>
      <c r="P25" s="14">
        <v>1680</v>
      </c>
      <c r="Q25" s="14">
        <v>1864</v>
      </c>
      <c r="R25" s="14">
        <v>2024</v>
      </c>
      <c r="S25" s="14">
        <v>2066</v>
      </c>
      <c r="T25" s="14">
        <v>2771</v>
      </c>
      <c r="U25" s="14">
        <v>2290</v>
      </c>
      <c r="V25" s="14">
        <f>2608540/1000</f>
        <v>2608.54</v>
      </c>
      <c r="W25" s="14">
        <v>2565</v>
      </c>
      <c r="X25" s="14">
        <v>2750</v>
      </c>
      <c r="Y25" s="14">
        <v>2750</v>
      </c>
      <c r="Z25" s="14">
        <v>3035</v>
      </c>
      <c r="AA25" s="14">
        <v>3226</v>
      </c>
      <c r="AB25" s="14">
        <v>3768</v>
      </c>
      <c r="AC25" s="14">
        <v>3998</v>
      </c>
      <c r="AD25" s="14"/>
      <c r="AE25" s="90">
        <v>4596795.36</v>
      </c>
      <c r="AF25" s="3">
        <f>AE25/1000</f>
        <v>4596.79536</v>
      </c>
      <c r="AH25" s="120">
        <v>5005541.56</v>
      </c>
      <c r="AI25" s="3">
        <f>AH25/1000</f>
        <v>5005.54156</v>
      </c>
      <c r="AK25" s="3">
        <v>4798107.44</v>
      </c>
      <c r="AL25" s="3">
        <f>AK25/1000</f>
        <v>4798.107440000001</v>
      </c>
      <c r="AN25" s="3">
        <v>5111040.61</v>
      </c>
      <c r="AO25" s="3">
        <f>AN25/1000</f>
        <v>5111.04061</v>
      </c>
      <c r="AQ25" s="3">
        <v>5040398.08</v>
      </c>
      <c r="AR25" s="3">
        <f>AQ25/1000</f>
        <v>5040.39808</v>
      </c>
      <c r="AT25" s="3">
        <v>5274181.94</v>
      </c>
      <c r="AU25" s="3">
        <f>AT25/1000</f>
        <v>5274.18194</v>
      </c>
      <c r="AW25" s="3">
        <v>5121412.16</v>
      </c>
      <c r="AX25" s="3">
        <f>AW25/1000</f>
        <v>5121.41216</v>
      </c>
      <c r="AZ25" s="3">
        <v>5003588.5</v>
      </c>
      <c r="BA25" s="3">
        <f t="shared" si="3"/>
        <v>5003.5885</v>
      </c>
      <c r="BB25" s="3">
        <v>5056069.189999999</v>
      </c>
      <c r="BC25" s="3">
        <f t="shared" si="3"/>
        <v>5056.069189999998</v>
      </c>
      <c r="BD25" s="3">
        <v>6736941.34</v>
      </c>
      <c r="BE25" s="3">
        <f t="shared" si="3"/>
        <v>6736.941339999999</v>
      </c>
    </row>
    <row r="26" spans="1:57" ht="12.75">
      <c r="A26" s="1" t="s">
        <v>18</v>
      </c>
      <c r="B26" s="14">
        <v>14522</v>
      </c>
      <c r="C26" s="14">
        <v>17580</v>
      </c>
      <c r="D26" s="14">
        <v>18815</v>
      </c>
      <c r="E26" s="14">
        <v>19675</v>
      </c>
      <c r="F26" s="14">
        <v>21412</v>
      </c>
      <c r="G26" s="14">
        <v>23031</v>
      </c>
      <c r="H26" s="14">
        <v>22117.321219999998</v>
      </c>
      <c r="I26" s="14">
        <v>21136.23769</v>
      </c>
      <c r="J26" s="14">
        <v>20835.501110000005</v>
      </c>
      <c r="K26" s="1">
        <v>32111.874990000008</v>
      </c>
      <c r="L26" s="244">
        <f>(K26-J26)*100/J26</f>
        <v>54.12096316026641</v>
      </c>
      <c r="M26" s="244">
        <f>(K26-AC26)*100/AC26</f>
        <v>180.4040778030039</v>
      </c>
      <c r="N26" s="14">
        <v>4877</v>
      </c>
      <c r="O26" s="14">
        <v>5228</v>
      </c>
      <c r="P26" s="14">
        <v>5578</v>
      </c>
      <c r="Q26" s="14">
        <v>6032</v>
      </c>
      <c r="R26" s="14">
        <v>6854</v>
      </c>
      <c r="S26" s="14">
        <v>7267</v>
      </c>
      <c r="T26" s="14">
        <v>7207</v>
      </c>
      <c r="U26" s="14">
        <v>7680</v>
      </c>
      <c r="V26" s="14">
        <f>8356638/1000</f>
        <v>8356.638</v>
      </c>
      <c r="W26" s="14">
        <v>8620</v>
      </c>
      <c r="X26" s="14">
        <v>8297</v>
      </c>
      <c r="Y26" s="14">
        <v>7892</v>
      </c>
      <c r="Z26" s="14">
        <v>8890</v>
      </c>
      <c r="AA26" s="14">
        <v>8683</v>
      </c>
      <c r="AB26" s="14">
        <v>10459</v>
      </c>
      <c r="AC26" s="14">
        <v>11452</v>
      </c>
      <c r="AD26" s="14"/>
      <c r="AE26" s="90">
        <v>14521833.67</v>
      </c>
      <c r="AF26" s="3">
        <f>AE26/1000</f>
        <v>14521.83367</v>
      </c>
      <c r="AH26" s="120">
        <v>17580365</v>
      </c>
      <c r="AI26" s="3">
        <f>AH26/1000</f>
        <v>17580.365</v>
      </c>
      <c r="AK26" s="3">
        <v>18815235</v>
      </c>
      <c r="AL26" s="3">
        <f>AK26/1000</f>
        <v>18815.235</v>
      </c>
      <c r="AN26" s="3">
        <v>19675189</v>
      </c>
      <c r="AO26" s="3">
        <f>AN26/1000</f>
        <v>19675.189</v>
      </c>
      <c r="AQ26" s="3">
        <v>21412103</v>
      </c>
      <c r="AR26" s="3">
        <f>AQ26/1000</f>
        <v>21412.103</v>
      </c>
      <c r="AT26" s="3">
        <v>23031331</v>
      </c>
      <c r="AU26" s="3">
        <f>AT26/1000</f>
        <v>23031.331</v>
      </c>
      <c r="AW26" s="3">
        <v>22117321.22</v>
      </c>
      <c r="AX26" s="3">
        <f>AW26/1000</f>
        <v>22117.321219999998</v>
      </c>
      <c r="AZ26" s="3">
        <v>21136237.69</v>
      </c>
      <c r="BA26" s="3">
        <f t="shared" si="3"/>
        <v>21136.23769</v>
      </c>
      <c r="BB26" s="3">
        <v>20835501.110000003</v>
      </c>
      <c r="BC26" s="3">
        <f t="shared" si="3"/>
        <v>20835.501110000005</v>
      </c>
      <c r="BD26" s="3">
        <v>32111874.990000006</v>
      </c>
      <c r="BE26" s="3">
        <f t="shared" si="3"/>
        <v>32111.874990000008</v>
      </c>
    </row>
    <row r="27" spans="1:57" ht="12.75">
      <c r="A27" s="1" t="s">
        <v>19</v>
      </c>
      <c r="B27" s="14">
        <v>10152</v>
      </c>
      <c r="C27" s="14">
        <v>11280</v>
      </c>
      <c r="D27" s="14">
        <v>14474</v>
      </c>
      <c r="E27" s="14">
        <v>17975</v>
      </c>
      <c r="F27" s="14">
        <v>18545</v>
      </c>
      <c r="G27" s="14">
        <v>17491</v>
      </c>
      <c r="H27" s="14">
        <v>17810.81882</v>
      </c>
      <c r="I27" s="14">
        <v>20014.01017</v>
      </c>
      <c r="J27" s="14">
        <v>20159.1725</v>
      </c>
      <c r="K27" s="1">
        <v>30143.610089999995</v>
      </c>
      <c r="L27" s="244">
        <f>(K27-J27)*100/J27</f>
        <v>49.52801306700458</v>
      </c>
      <c r="M27" s="244">
        <f>(K27-AC27)*100/AC27</f>
        <v>229.79879748358857</v>
      </c>
      <c r="N27" s="14">
        <v>2507</v>
      </c>
      <c r="O27" s="14">
        <v>2733</v>
      </c>
      <c r="P27" s="14">
        <v>2763</v>
      </c>
      <c r="Q27" s="14">
        <v>2744</v>
      </c>
      <c r="R27" s="14">
        <v>2918</v>
      </c>
      <c r="S27" s="14">
        <v>3260</v>
      </c>
      <c r="T27" s="14">
        <v>3385</v>
      </c>
      <c r="U27" s="14">
        <v>4075</v>
      </c>
      <c r="V27" s="14">
        <f>4092302/1000</f>
        <v>4092.302</v>
      </c>
      <c r="W27" s="14">
        <v>4566</v>
      </c>
      <c r="X27" s="14">
        <v>4694</v>
      </c>
      <c r="Y27" s="14">
        <v>4650</v>
      </c>
      <c r="Z27" s="14">
        <v>5407</v>
      </c>
      <c r="AA27" s="14">
        <v>7342</v>
      </c>
      <c r="AB27" s="14">
        <v>7309</v>
      </c>
      <c r="AC27" s="14">
        <v>9140</v>
      </c>
      <c r="AD27" s="14"/>
      <c r="AE27" s="90">
        <v>10151898.94</v>
      </c>
      <c r="AF27" s="3">
        <f>AE27/1000</f>
        <v>10151.89894</v>
      </c>
      <c r="AH27" s="120">
        <v>11279746</v>
      </c>
      <c r="AI27" s="3">
        <f>AH27/1000</f>
        <v>11279.746</v>
      </c>
      <c r="AK27" s="3">
        <v>14473857</v>
      </c>
      <c r="AL27" s="3">
        <f>AK27/1000</f>
        <v>14473.857</v>
      </c>
      <c r="AN27" s="3">
        <v>17975285</v>
      </c>
      <c r="AO27" s="3">
        <f>AN27/1000</f>
        <v>17975.285</v>
      </c>
      <c r="AQ27" s="3">
        <v>18544975</v>
      </c>
      <c r="AR27" s="3">
        <f>AQ27/1000</f>
        <v>18544.975</v>
      </c>
      <c r="AT27" s="3">
        <v>17491257</v>
      </c>
      <c r="AU27" s="3">
        <f>AT27/1000</f>
        <v>17491.257</v>
      </c>
      <c r="AW27" s="3">
        <v>17810818.82</v>
      </c>
      <c r="AX27" s="3">
        <f>AW27/1000</f>
        <v>17810.81882</v>
      </c>
      <c r="AZ27" s="3">
        <v>20014010.17</v>
      </c>
      <c r="BA27" s="3">
        <f t="shared" si="3"/>
        <v>20014.01017</v>
      </c>
      <c r="BB27" s="3">
        <v>20159172.5</v>
      </c>
      <c r="BC27" s="3">
        <f t="shared" si="3"/>
        <v>20159.1725</v>
      </c>
      <c r="BD27" s="3">
        <v>30143610.089999996</v>
      </c>
      <c r="BE27" s="3">
        <f t="shared" si="3"/>
        <v>30143.610089999995</v>
      </c>
    </row>
    <row r="28" spans="1:57" ht="12.75">
      <c r="A28" s="1" t="s">
        <v>20</v>
      </c>
      <c r="B28" s="14">
        <v>2721</v>
      </c>
      <c r="C28" s="14">
        <v>3290</v>
      </c>
      <c r="D28" s="14">
        <v>3141</v>
      </c>
      <c r="E28" s="14">
        <v>2671</v>
      </c>
      <c r="F28" s="14">
        <v>2947</v>
      </c>
      <c r="G28" s="14">
        <v>3208</v>
      </c>
      <c r="H28" s="14">
        <v>3142.31754</v>
      </c>
      <c r="I28" s="14">
        <v>2846.70917</v>
      </c>
      <c r="J28" s="14">
        <v>3150.6447800000005</v>
      </c>
      <c r="K28" s="1">
        <v>4543.598760000001</v>
      </c>
      <c r="L28" s="244">
        <f>(K28-J28)*100/J28</f>
        <v>44.21171148338722</v>
      </c>
      <c r="M28" s="244">
        <f>(K28-AC28)*100/AC28</f>
        <v>94.25390166737925</v>
      </c>
      <c r="N28" s="14">
        <v>622</v>
      </c>
      <c r="O28" s="14">
        <v>635</v>
      </c>
      <c r="P28" s="14">
        <v>625</v>
      </c>
      <c r="Q28" s="14">
        <v>694</v>
      </c>
      <c r="R28" s="14">
        <v>736</v>
      </c>
      <c r="S28" s="14">
        <v>893</v>
      </c>
      <c r="T28" s="14">
        <v>965</v>
      </c>
      <c r="U28" s="14">
        <v>944</v>
      </c>
      <c r="V28" s="14">
        <f>1069453/1000</f>
        <v>1069.453</v>
      </c>
      <c r="W28" s="14">
        <v>1116</v>
      </c>
      <c r="X28" s="208">
        <v>1202</v>
      </c>
      <c r="Y28" s="14">
        <v>1394</v>
      </c>
      <c r="Z28" s="14">
        <v>1346</v>
      </c>
      <c r="AA28" s="14">
        <v>1809</v>
      </c>
      <c r="AB28" s="14">
        <v>2242</v>
      </c>
      <c r="AC28" s="14">
        <v>2339</v>
      </c>
      <c r="AD28" s="14"/>
      <c r="AE28" s="90">
        <v>2720608.44</v>
      </c>
      <c r="AF28" s="3">
        <f>AE28/1000</f>
        <v>2720.60844</v>
      </c>
      <c r="AH28" s="120">
        <v>3290197.51</v>
      </c>
      <c r="AI28" s="3">
        <f>AH28/1000</f>
        <v>3290.19751</v>
      </c>
      <c r="AK28" s="3">
        <v>3140879.15</v>
      </c>
      <c r="AL28" s="3">
        <f>AK28/1000</f>
        <v>3140.8791499999998</v>
      </c>
      <c r="AN28" s="3">
        <v>2671228.45</v>
      </c>
      <c r="AO28" s="3">
        <f>AN28/1000</f>
        <v>2671.22845</v>
      </c>
      <c r="AQ28" s="3">
        <v>2947051.49</v>
      </c>
      <c r="AR28" s="3">
        <f>AQ28/1000</f>
        <v>2947.0514900000003</v>
      </c>
      <c r="AT28" s="3">
        <v>3208194.51</v>
      </c>
      <c r="AU28" s="3">
        <f>AT28/1000</f>
        <v>3208.19451</v>
      </c>
      <c r="AW28" s="3">
        <v>3142317.54</v>
      </c>
      <c r="AX28" s="3">
        <f>AW28/1000</f>
        <v>3142.31754</v>
      </c>
      <c r="AZ28" s="3">
        <v>2846709.17</v>
      </c>
      <c r="BA28" s="3">
        <f t="shared" si="3"/>
        <v>2846.70917</v>
      </c>
      <c r="BB28" s="3">
        <v>3150644.7800000007</v>
      </c>
      <c r="BC28" s="3">
        <f t="shared" si="3"/>
        <v>3150.6447800000005</v>
      </c>
      <c r="BD28" s="3">
        <v>4543598.760000001</v>
      </c>
      <c r="BE28" s="3">
        <f t="shared" si="3"/>
        <v>4543.598760000001</v>
      </c>
    </row>
    <row r="29" spans="2:34" ht="12.75">
      <c r="B29" s="14"/>
      <c r="C29" s="14"/>
      <c r="D29" s="14"/>
      <c r="E29" s="14"/>
      <c r="F29" s="14"/>
      <c r="G29" s="14"/>
      <c r="H29" s="14"/>
      <c r="I29" s="14"/>
      <c r="J29" s="14"/>
      <c r="L29" s="244"/>
      <c r="M29" s="24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08"/>
      <c r="Y29" s="14"/>
      <c r="Z29" s="14"/>
      <c r="AA29" s="14"/>
      <c r="AB29" s="14"/>
      <c r="AC29" s="14"/>
      <c r="AD29" s="14"/>
      <c r="AE29" s="30"/>
      <c r="AH29" s="120"/>
    </row>
    <row r="30" spans="1:57" ht="12.75">
      <c r="A30" s="1" t="s">
        <v>21</v>
      </c>
      <c r="B30" s="14">
        <v>48939</v>
      </c>
      <c r="C30" s="14">
        <v>55404</v>
      </c>
      <c r="D30" s="14">
        <v>68993</v>
      </c>
      <c r="E30" s="14">
        <v>74629</v>
      </c>
      <c r="F30" s="14">
        <v>84599</v>
      </c>
      <c r="G30" s="14">
        <v>89107</v>
      </c>
      <c r="H30" s="14">
        <v>90895.47417</v>
      </c>
      <c r="I30" s="14">
        <v>93751.89821000001</v>
      </c>
      <c r="J30" s="14">
        <v>89432.06359</v>
      </c>
      <c r="K30" s="1">
        <v>142517.51473999996</v>
      </c>
      <c r="L30" s="244">
        <f>(K30-J30)*100/J30</f>
        <v>59.35841019320478</v>
      </c>
      <c r="M30" s="244">
        <f>(K30-AC30)*100/AC30</f>
        <v>221.7099655530473</v>
      </c>
      <c r="N30" s="14">
        <v>11648</v>
      </c>
      <c r="O30" s="14">
        <v>12238</v>
      </c>
      <c r="P30" s="14">
        <v>12657</v>
      </c>
      <c r="Q30" s="14">
        <v>13854</v>
      </c>
      <c r="R30" s="14">
        <v>15287</v>
      </c>
      <c r="S30" s="14">
        <v>16399</v>
      </c>
      <c r="T30" s="14">
        <v>17883</v>
      </c>
      <c r="U30" s="14">
        <v>21701</v>
      </c>
      <c r="V30" s="14">
        <f>24332744/1000</f>
        <v>24332.744</v>
      </c>
      <c r="W30" s="14">
        <v>26023</v>
      </c>
      <c r="X30" s="208">
        <v>29313</v>
      </c>
      <c r="Y30" s="14">
        <v>29559</v>
      </c>
      <c r="Z30" s="14">
        <v>30528</v>
      </c>
      <c r="AA30" s="14">
        <v>34007</v>
      </c>
      <c r="AB30" s="14">
        <v>36902</v>
      </c>
      <c r="AC30" s="14">
        <v>44300</v>
      </c>
      <c r="AD30" s="14"/>
      <c r="AE30" s="90">
        <v>48938846.97</v>
      </c>
      <c r="AF30" s="3">
        <f>AE30/1000</f>
        <v>48938.84697</v>
      </c>
      <c r="AH30" s="120">
        <v>55403842</v>
      </c>
      <c r="AI30" s="3">
        <f>AH30/1000</f>
        <v>55403.842</v>
      </c>
      <c r="AK30" s="3">
        <v>68992786</v>
      </c>
      <c r="AL30" s="3">
        <f>AK30/1000</f>
        <v>68992.786</v>
      </c>
      <c r="AN30" s="3">
        <v>74629364</v>
      </c>
      <c r="AO30" s="3">
        <f>AN30/1000</f>
        <v>74629.364</v>
      </c>
      <c r="AQ30" s="3">
        <v>84598931</v>
      </c>
      <c r="AR30" s="3">
        <f>AQ30/1000</f>
        <v>84598.931</v>
      </c>
      <c r="AT30" s="3">
        <v>89107499</v>
      </c>
      <c r="AU30" s="3">
        <f>AT30/1000</f>
        <v>89107.499</v>
      </c>
      <c r="AW30" s="3">
        <v>90895474.17</v>
      </c>
      <c r="AX30" s="3">
        <f>AW30/1000</f>
        <v>90895.47417</v>
      </c>
      <c r="AZ30" s="3">
        <v>93751898.21000001</v>
      </c>
      <c r="BA30" s="3">
        <f t="shared" si="3"/>
        <v>93751.89821000001</v>
      </c>
      <c r="BB30" s="3">
        <v>89432063.59</v>
      </c>
      <c r="BC30" s="3">
        <f t="shared" si="3"/>
        <v>89432.06359</v>
      </c>
      <c r="BD30" s="3">
        <v>142517514.73999995</v>
      </c>
      <c r="BE30" s="3">
        <f t="shared" si="3"/>
        <v>142517.51473999996</v>
      </c>
    </row>
    <row r="31" spans="1:57" ht="15.75">
      <c r="A31" s="1" t="s">
        <v>22</v>
      </c>
      <c r="B31" s="14">
        <v>70195</v>
      </c>
      <c r="C31" s="14">
        <v>83055</v>
      </c>
      <c r="D31" s="14">
        <v>87536</v>
      </c>
      <c r="E31" s="14">
        <v>94808</v>
      </c>
      <c r="F31" s="14">
        <v>102773</v>
      </c>
      <c r="G31" s="14">
        <v>105327</v>
      </c>
      <c r="H31" s="14">
        <v>108969.07320000001</v>
      </c>
      <c r="I31" s="14">
        <v>117771.34997999997</v>
      </c>
      <c r="J31" s="14">
        <v>115316.00235999995</v>
      </c>
      <c r="K31" s="1">
        <v>182349.64572000003</v>
      </c>
      <c r="L31" s="244">
        <f>(K31-J31)*100/J31</f>
        <v>58.13039126237718</v>
      </c>
      <c r="M31" s="244">
        <f>(K31-AC31)*100/AC31</f>
        <v>198.73795170380083</v>
      </c>
      <c r="N31" s="14">
        <v>18674</v>
      </c>
      <c r="O31" s="14">
        <v>19927</v>
      </c>
      <c r="P31" s="14">
        <v>21398</v>
      </c>
      <c r="Q31" s="14">
        <v>25414</v>
      </c>
      <c r="R31" s="14">
        <v>28463</v>
      </c>
      <c r="S31" s="14">
        <v>25831</v>
      </c>
      <c r="T31" s="14">
        <v>29004</v>
      </c>
      <c r="U31" s="14">
        <v>31986</v>
      </c>
      <c r="V31" s="14">
        <f>38162085/1000</f>
        <v>38162.085</v>
      </c>
      <c r="W31" s="14">
        <v>39823</v>
      </c>
      <c r="X31" s="208">
        <v>40610</v>
      </c>
      <c r="Y31" s="14">
        <v>41359</v>
      </c>
      <c r="Z31" s="14">
        <v>42276</v>
      </c>
      <c r="AA31">
        <v>49353</v>
      </c>
      <c r="AB31" s="14">
        <v>51654</v>
      </c>
      <c r="AC31" s="14">
        <v>61040</v>
      </c>
      <c r="AD31" s="14"/>
      <c r="AE31" s="90">
        <v>70194991.77</v>
      </c>
      <c r="AF31" s="3">
        <f>AE31/1000</f>
        <v>70194.99177</v>
      </c>
      <c r="AH31" s="120">
        <v>83055271</v>
      </c>
      <c r="AI31" s="3">
        <f>AH31/1000</f>
        <v>83055.271</v>
      </c>
      <c r="AK31" s="3">
        <v>87535581</v>
      </c>
      <c r="AL31" s="3">
        <f>AK31/1000</f>
        <v>87535.581</v>
      </c>
      <c r="AN31" s="3">
        <v>94808277</v>
      </c>
      <c r="AO31" s="3">
        <f>AN31/1000</f>
        <v>94808.277</v>
      </c>
      <c r="AQ31" s="3">
        <v>102773407</v>
      </c>
      <c r="AR31" s="3">
        <f>AQ31/1000</f>
        <v>102773.407</v>
      </c>
      <c r="AT31" s="3">
        <v>105326829</v>
      </c>
      <c r="AU31" s="3">
        <f>AT31/1000</f>
        <v>105326.829</v>
      </c>
      <c r="AW31" s="3">
        <v>108969073.20000002</v>
      </c>
      <c r="AX31" s="3">
        <f>AW31/1000</f>
        <v>108969.07320000001</v>
      </c>
      <c r="AZ31" s="3">
        <v>117771349.97999997</v>
      </c>
      <c r="BA31" s="3">
        <f t="shared" si="3"/>
        <v>117771.34997999997</v>
      </c>
      <c r="BB31" s="3">
        <v>115316002.35999995</v>
      </c>
      <c r="BC31" s="3">
        <f t="shared" si="3"/>
        <v>115316.00235999995</v>
      </c>
      <c r="BD31" s="3">
        <v>182349645.72000003</v>
      </c>
      <c r="BE31" s="3">
        <f t="shared" si="3"/>
        <v>182349.64572000003</v>
      </c>
    </row>
    <row r="32" spans="1:57" ht="15.75">
      <c r="A32" s="1" t="s">
        <v>23</v>
      </c>
      <c r="B32" s="14">
        <v>3443</v>
      </c>
      <c r="C32" s="14">
        <v>4280</v>
      </c>
      <c r="D32" s="14">
        <v>4607</v>
      </c>
      <c r="E32" s="14">
        <v>4453</v>
      </c>
      <c r="F32" s="14">
        <v>4735</v>
      </c>
      <c r="G32" s="14">
        <v>5529</v>
      </c>
      <c r="H32" s="14">
        <v>5013.70667</v>
      </c>
      <c r="I32" s="14">
        <v>4755.54347</v>
      </c>
      <c r="J32" s="14">
        <v>5429.15149</v>
      </c>
      <c r="K32" s="1">
        <v>7358.69764</v>
      </c>
      <c r="L32" s="244">
        <f>(K32-J32)*100/J32</f>
        <v>35.54047356302449</v>
      </c>
      <c r="M32" s="244">
        <f>(K32-AC32)*100/AC32</f>
        <v>172.7463914010378</v>
      </c>
      <c r="N32" s="14">
        <v>1253</v>
      </c>
      <c r="O32" s="14">
        <v>1412</v>
      </c>
      <c r="P32" s="14">
        <v>1393</v>
      </c>
      <c r="Q32" s="14">
        <v>1465</v>
      </c>
      <c r="R32" s="14">
        <v>1591</v>
      </c>
      <c r="S32" s="14">
        <v>1624</v>
      </c>
      <c r="T32" s="14">
        <v>1724</v>
      </c>
      <c r="U32" s="14">
        <v>2018</v>
      </c>
      <c r="V32" s="14">
        <f>1744062/1000</f>
        <v>1744.062</v>
      </c>
      <c r="W32" s="14">
        <v>1808</v>
      </c>
      <c r="X32" s="14">
        <v>1798</v>
      </c>
      <c r="Y32" s="14">
        <v>1687</v>
      </c>
      <c r="Z32" s="14">
        <v>1972</v>
      </c>
      <c r="AA32">
        <v>2261</v>
      </c>
      <c r="AB32" s="14">
        <v>2490</v>
      </c>
      <c r="AC32" s="14">
        <v>2698</v>
      </c>
      <c r="AD32" s="14"/>
      <c r="AE32" s="90">
        <v>3443457.22</v>
      </c>
      <c r="AF32" s="3">
        <f>AE32/1000</f>
        <v>3443.4572200000002</v>
      </c>
      <c r="AH32" s="120">
        <v>4279865.55</v>
      </c>
      <c r="AI32" s="3">
        <f>AH32/1000</f>
        <v>4279.8655499999995</v>
      </c>
      <c r="AK32" s="3">
        <v>4607058.5</v>
      </c>
      <c r="AL32" s="3">
        <f>AK32/1000</f>
        <v>4607.0585</v>
      </c>
      <c r="AN32" s="3">
        <v>4453155.9</v>
      </c>
      <c r="AO32" s="3">
        <f>AN32/1000</f>
        <v>4453.155900000001</v>
      </c>
      <c r="AQ32" s="3">
        <v>4735390.99</v>
      </c>
      <c r="AR32" s="3">
        <f>AQ32/1000</f>
        <v>4735.39099</v>
      </c>
      <c r="AT32" s="3">
        <v>5529258</v>
      </c>
      <c r="AU32" s="3">
        <f>AT32/1000</f>
        <v>5529.258</v>
      </c>
      <c r="AW32" s="3">
        <v>5013706.67</v>
      </c>
      <c r="AX32" s="3">
        <f>AW32/1000</f>
        <v>5013.70667</v>
      </c>
      <c r="AZ32" s="3">
        <v>4755543.47</v>
      </c>
      <c r="BA32" s="3">
        <f t="shared" si="3"/>
        <v>4755.54347</v>
      </c>
      <c r="BB32" s="3">
        <v>5429151.49</v>
      </c>
      <c r="BC32" s="3">
        <f t="shared" si="3"/>
        <v>5429.15149</v>
      </c>
      <c r="BD32" s="3">
        <v>7358697.640000001</v>
      </c>
      <c r="BE32" s="3">
        <f t="shared" si="3"/>
        <v>7358.69764</v>
      </c>
    </row>
    <row r="33" spans="1:57" ht="15.75">
      <c r="A33" s="1" t="s">
        <v>24</v>
      </c>
      <c r="B33" s="14">
        <v>9269</v>
      </c>
      <c r="C33" s="14">
        <v>11272</v>
      </c>
      <c r="D33" s="14">
        <v>12053</v>
      </c>
      <c r="E33" s="14">
        <v>13069</v>
      </c>
      <c r="F33" s="14">
        <v>13832</v>
      </c>
      <c r="G33" s="14">
        <v>13006</v>
      </c>
      <c r="H33" s="14">
        <v>12062.05544</v>
      </c>
      <c r="I33" s="14">
        <v>12760.059479999998</v>
      </c>
      <c r="J33" s="14">
        <v>13275.13779</v>
      </c>
      <c r="K33" s="1">
        <v>19933.209260000007</v>
      </c>
      <c r="L33" s="244">
        <f>(K33-J33)*100/J33</f>
        <v>50.15444340634603</v>
      </c>
      <c r="M33" s="244">
        <f>(K33-AC33)*100/AC33</f>
        <v>154.90037416879804</v>
      </c>
      <c r="N33" s="14">
        <v>3379</v>
      </c>
      <c r="O33" s="14">
        <v>3837</v>
      </c>
      <c r="P33" s="14">
        <v>3886</v>
      </c>
      <c r="Q33" s="14">
        <v>4107</v>
      </c>
      <c r="R33" s="14">
        <v>4041</v>
      </c>
      <c r="S33" s="14">
        <v>4172</v>
      </c>
      <c r="T33" s="14">
        <v>4371</v>
      </c>
      <c r="U33" s="14">
        <v>6033</v>
      </c>
      <c r="V33" s="14">
        <f>5272740/1000</f>
        <v>5272.74</v>
      </c>
      <c r="W33" s="14">
        <v>5264</v>
      </c>
      <c r="X33" s="14">
        <v>5623</v>
      </c>
      <c r="Y33" s="14">
        <v>5315</v>
      </c>
      <c r="Z33" s="14">
        <v>5597</v>
      </c>
      <c r="AA33">
        <v>5662</v>
      </c>
      <c r="AB33" s="14">
        <v>6128</v>
      </c>
      <c r="AC33" s="14">
        <v>7820</v>
      </c>
      <c r="AD33" s="14"/>
      <c r="AE33" s="90">
        <v>9269128.35</v>
      </c>
      <c r="AF33" s="3">
        <f>AE33/1000</f>
        <v>9269.128349999999</v>
      </c>
      <c r="AH33" s="120">
        <v>11271973</v>
      </c>
      <c r="AI33" s="3">
        <f>AH33/1000</f>
        <v>11271.973</v>
      </c>
      <c r="AK33" s="3">
        <v>12052986</v>
      </c>
      <c r="AL33" s="3">
        <f>AK33/1000</f>
        <v>12052.986</v>
      </c>
      <c r="AN33" s="3">
        <v>13069164</v>
      </c>
      <c r="AO33" s="3">
        <f>AN33/1000</f>
        <v>13069.164</v>
      </c>
      <c r="AQ33" s="3">
        <v>13832065</v>
      </c>
      <c r="AR33" s="3">
        <f>AQ33/1000</f>
        <v>13832.065</v>
      </c>
      <c r="AT33" s="3">
        <v>13005687</v>
      </c>
      <c r="AU33" s="3">
        <f>AT33/1000</f>
        <v>13005.687</v>
      </c>
      <c r="AW33" s="3">
        <v>12062055.44</v>
      </c>
      <c r="AX33" s="3">
        <f>AW33/1000</f>
        <v>12062.05544</v>
      </c>
      <c r="AZ33" s="3">
        <v>12760059.479999999</v>
      </c>
      <c r="BA33" s="3">
        <f t="shared" si="3"/>
        <v>12760.059479999998</v>
      </c>
      <c r="BB33" s="3">
        <v>13275137.790000001</v>
      </c>
      <c r="BC33" s="3">
        <f t="shared" si="3"/>
        <v>13275.13779</v>
      </c>
      <c r="BD33" s="3">
        <v>19933209.260000005</v>
      </c>
      <c r="BE33" s="3">
        <f t="shared" si="3"/>
        <v>19933.209260000007</v>
      </c>
    </row>
    <row r="34" spans="1:57" ht="15.75">
      <c r="A34" s="1" t="s">
        <v>25</v>
      </c>
      <c r="B34" s="14">
        <v>3796</v>
      </c>
      <c r="C34" s="14">
        <v>4611</v>
      </c>
      <c r="D34" s="14">
        <v>3989</v>
      </c>
      <c r="E34" s="14">
        <v>4212</v>
      </c>
      <c r="F34" s="14">
        <v>4501</v>
      </c>
      <c r="G34" s="14">
        <v>4208</v>
      </c>
      <c r="H34" s="14">
        <v>5619.63874</v>
      </c>
      <c r="I34" s="14">
        <v>5921.21534</v>
      </c>
      <c r="J34" s="14">
        <v>6103.20868</v>
      </c>
      <c r="K34" s="1">
        <v>7271.4706</v>
      </c>
      <c r="L34" s="244">
        <f>(K34-J34)*100/J34</f>
        <v>19.14176593417743</v>
      </c>
      <c r="M34" s="244">
        <f>(K34-AC34)*100/AC34</f>
        <v>108.4710607798165</v>
      </c>
      <c r="N34" s="14">
        <v>1608</v>
      </c>
      <c r="O34" s="14">
        <v>1615</v>
      </c>
      <c r="P34" s="14">
        <v>1432</v>
      </c>
      <c r="Q34" s="14">
        <v>1763</v>
      </c>
      <c r="R34" s="14">
        <v>2205</v>
      </c>
      <c r="S34" s="14">
        <v>2002</v>
      </c>
      <c r="T34" s="14">
        <v>2233</v>
      </c>
      <c r="U34" s="14">
        <v>2305</v>
      </c>
      <c r="V34" s="14">
        <f>2453963/1000</f>
        <v>2453.963</v>
      </c>
      <c r="W34" s="14">
        <v>2364</v>
      </c>
      <c r="X34" s="14">
        <v>2575</v>
      </c>
      <c r="Y34" s="14">
        <v>2473</v>
      </c>
      <c r="Z34" s="14">
        <v>2697</v>
      </c>
      <c r="AA34">
        <v>3062</v>
      </c>
      <c r="AB34" s="14">
        <v>3255</v>
      </c>
      <c r="AC34" s="14">
        <v>3488</v>
      </c>
      <c r="AD34" s="14"/>
      <c r="AE34" s="90">
        <v>3796042.4</v>
      </c>
      <c r="AF34" s="3">
        <f>AE34/1000</f>
        <v>3796.0424</v>
      </c>
      <c r="AH34" s="120">
        <v>4610949.21</v>
      </c>
      <c r="AI34" s="3">
        <f>AH34/1000</f>
        <v>4610.94921</v>
      </c>
      <c r="AK34" s="3">
        <v>3988880.69</v>
      </c>
      <c r="AL34" s="3">
        <f>AK34/1000</f>
        <v>3988.88069</v>
      </c>
      <c r="AN34" s="3">
        <v>4212302.31</v>
      </c>
      <c r="AO34" s="3">
        <f>AN34/1000</f>
        <v>4212.30231</v>
      </c>
      <c r="AQ34" s="3">
        <v>4500996.32</v>
      </c>
      <c r="AR34" s="3">
        <f>AQ34/1000</f>
        <v>4500.99632</v>
      </c>
      <c r="AT34" s="3">
        <v>4208363.35</v>
      </c>
      <c r="AU34" s="3">
        <f>AT34/1000</f>
        <v>4208.36335</v>
      </c>
      <c r="AW34" s="3">
        <v>5619638.74</v>
      </c>
      <c r="AX34" s="3">
        <f>AW34/1000</f>
        <v>5619.63874</v>
      </c>
      <c r="AZ34" s="3">
        <v>5921215.34</v>
      </c>
      <c r="BA34" s="3">
        <f t="shared" si="3"/>
        <v>5921.21534</v>
      </c>
      <c r="BB34" s="3">
        <v>6103208.68</v>
      </c>
      <c r="BC34" s="3">
        <f t="shared" si="3"/>
        <v>6103.20868</v>
      </c>
      <c r="BD34" s="3">
        <v>7271470.6</v>
      </c>
      <c r="BE34" s="3">
        <f t="shared" si="3"/>
        <v>7271.4706</v>
      </c>
    </row>
    <row r="35" spans="2:34" ht="15.75">
      <c r="B35" s="14"/>
      <c r="C35" s="14"/>
      <c r="D35" s="14"/>
      <c r="E35" s="14"/>
      <c r="F35" s="14"/>
      <c r="G35" s="14"/>
      <c r="H35" s="14"/>
      <c r="I35" s="14"/>
      <c r="J35" s="14"/>
      <c r="L35" s="244"/>
      <c r="M35" s="24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/>
      <c r="AB35" s="14"/>
      <c r="AC35" s="14"/>
      <c r="AD35" s="14"/>
      <c r="AE35" s="30"/>
      <c r="AH35" s="120"/>
    </row>
    <row r="36" spans="1:57" ht="15.75">
      <c r="A36" s="1" t="s">
        <v>26</v>
      </c>
      <c r="B36" s="14">
        <v>3121</v>
      </c>
      <c r="C36" s="14">
        <v>3433</v>
      </c>
      <c r="D36" s="14">
        <v>4135</v>
      </c>
      <c r="E36" s="14">
        <v>3308</v>
      </c>
      <c r="F36" s="14">
        <v>3079</v>
      </c>
      <c r="G36" s="14">
        <v>3204</v>
      </c>
      <c r="H36" s="14">
        <v>2888.0732799999996</v>
      </c>
      <c r="I36" s="14">
        <v>3251.59221</v>
      </c>
      <c r="J36" s="14">
        <v>3100.35429</v>
      </c>
      <c r="K36" s="1">
        <v>4547.933480000001</v>
      </c>
      <c r="L36" s="244">
        <f>(K36-J36)*100/J36</f>
        <v>46.69076675104768</v>
      </c>
      <c r="M36" s="244">
        <f>(K36-AC36)*100/AC36</f>
        <v>80.61689753772838</v>
      </c>
      <c r="N36" s="14">
        <v>911</v>
      </c>
      <c r="O36" s="14">
        <v>919</v>
      </c>
      <c r="P36" s="14">
        <v>770</v>
      </c>
      <c r="Q36" s="14">
        <v>828</v>
      </c>
      <c r="R36" s="14">
        <v>933</v>
      </c>
      <c r="S36" s="14">
        <v>1399</v>
      </c>
      <c r="T36" s="14">
        <v>1283</v>
      </c>
      <c r="U36" s="14">
        <v>1285</v>
      </c>
      <c r="V36" s="14">
        <f>1472053/1000</f>
        <v>1472.053</v>
      </c>
      <c r="W36" s="14">
        <v>1392</v>
      </c>
      <c r="X36" s="14">
        <v>1295</v>
      </c>
      <c r="Y36" s="14">
        <v>1391</v>
      </c>
      <c r="Z36" s="14">
        <v>1450</v>
      </c>
      <c r="AA36">
        <v>1675</v>
      </c>
      <c r="AB36" s="14">
        <v>2181</v>
      </c>
      <c r="AC36" s="14">
        <v>2518</v>
      </c>
      <c r="AD36" s="14"/>
      <c r="AE36" s="90">
        <v>3121132.02</v>
      </c>
      <c r="AF36" s="3">
        <f>AE36/1000</f>
        <v>3121.13202</v>
      </c>
      <c r="AH36" s="120">
        <v>3433428.16</v>
      </c>
      <c r="AI36" s="3">
        <f>AH36/1000</f>
        <v>3433.42816</v>
      </c>
      <c r="AK36" s="3">
        <v>4134635.44</v>
      </c>
      <c r="AL36" s="3">
        <f>AK36/1000</f>
        <v>4134.63544</v>
      </c>
      <c r="AN36" s="3">
        <v>3308308.47</v>
      </c>
      <c r="AO36" s="3">
        <f>AN36/1000</f>
        <v>3308.3084700000004</v>
      </c>
      <c r="AQ36" s="3">
        <v>3078642.35</v>
      </c>
      <c r="AR36" s="3">
        <f>AQ36/1000</f>
        <v>3078.64235</v>
      </c>
      <c r="AT36" s="3">
        <v>3204280.57</v>
      </c>
      <c r="AU36" s="3">
        <f>AT36/1000</f>
        <v>3204.28057</v>
      </c>
      <c r="AW36" s="3">
        <v>2888073.28</v>
      </c>
      <c r="AX36" s="3">
        <f>AW36/1000</f>
        <v>2888.0732799999996</v>
      </c>
      <c r="AZ36" s="3">
        <v>3251592.21</v>
      </c>
      <c r="BA36" s="3">
        <f t="shared" si="3"/>
        <v>3251.59221</v>
      </c>
      <c r="BB36" s="3">
        <v>3100354.29</v>
      </c>
      <c r="BC36" s="3">
        <f t="shared" si="3"/>
        <v>3100.35429</v>
      </c>
      <c r="BD36" s="3">
        <v>4547933.48</v>
      </c>
      <c r="BE36" s="3">
        <f t="shared" si="3"/>
        <v>4547.933480000001</v>
      </c>
    </row>
    <row r="37" spans="1:57" ht="12.75">
      <c r="A37" s="1" t="s">
        <v>27</v>
      </c>
      <c r="B37" s="14">
        <v>10092</v>
      </c>
      <c r="C37" s="14">
        <v>11026</v>
      </c>
      <c r="D37" s="14">
        <v>12325</v>
      </c>
      <c r="E37" s="14">
        <v>13012</v>
      </c>
      <c r="F37" s="14">
        <v>14252</v>
      </c>
      <c r="G37" s="14">
        <v>15466</v>
      </c>
      <c r="H37" s="14">
        <v>15509.137100000002</v>
      </c>
      <c r="I37" s="14">
        <v>16869.90566</v>
      </c>
      <c r="J37" s="14">
        <v>16964.993950000004</v>
      </c>
      <c r="K37" s="1">
        <v>24133.020170000007</v>
      </c>
      <c r="L37" s="244">
        <f>(K37-J37)*100/J37</f>
        <v>42.25186428669491</v>
      </c>
      <c r="M37" s="244">
        <f>(K37-AC37)*100/AC37</f>
        <v>146.85986262274966</v>
      </c>
      <c r="N37" s="14">
        <v>4598</v>
      </c>
      <c r="O37" s="14">
        <v>4515</v>
      </c>
      <c r="P37" s="14">
        <v>4625</v>
      </c>
      <c r="Q37" s="14">
        <v>5045</v>
      </c>
      <c r="R37" s="14">
        <v>5106</v>
      </c>
      <c r="S37" s="14">
        <v>5237</v>
      </c>
      <c r="T37" s="14">
        <v>5515</v>
      </c>
      <c r="U37" s="14">
        <v>6641</v>
      </c>
      <c r="V37" s="14">
        <f>6673421/1000</f>
        <v>6673.421</v>
      </c>
      <c r="W37" s="14">
        <v>7261</v>
      </c>
      <c r="X37" s="14">
        <v>7633</v>
      </c>
      <c r="Y37" s="14">
        <v>7206</v>
      </c>
      <c r="Z37" s="14">
        <v>6995</v>
      </c>
      <c r="AA37" s="14">
        <v>7222</v>
      </c>
      <c r="AB37" s="14">
        <v>8684</v>
      </c>
      <c r="AC37" s="14">
        <v>9776</v>
      </c>
      <c r="AD37" s="14"/>
      <c r="AE37" s="90">
        <v>10092108.57</v>
      </c>
      <c r="AF37" s="3">
        <f>AE37/1000</f>
        <v>10092.10857</v>
      </c>
      <c r="AH37" s="120">
        <v>11026455</v>
      </c>
      <c r="AI37" s="3">
        <f>AH37/1000</f>
        <v>11026.455</v>
      </c>
      <c r="AK37" s="3">
        <v>12324931</v>
      </c>
      <c r="AL37" s="3">
        <f>AK37/1000</f>
        <v>12324.931</v>
      </c>
      <c r="AN37" s="3">
        <v>13012358</v>
      </c>
      <c r="AO37" s="3">
        <f>AN37/1000</f>
        <v>13012.358</v>
      </c>
      <c r="AQ37" s="3">
        <v>14251701</v>
      </c>
      <c r="AR37" s="3">
        <f>AQ37/1000</f>
        <v>14251.701</v>
      </c>
      <c r="AT37" s="3">
        <v>15466229</v>
      </c>
      <c r="AU37" s="3">
        <f>AT37/1000</f>
        <v>15466.229</v>
      </c>
      <c r="AW37" s="3">
        <v>15509137.100000001</v>
      </c>
      <c r="AX37" s="3">
        <f>AW37/1000</f>
        <v>15509.137100000002</v>
      </c>
      <c r="AZ37" s="3">
        <v>16869905.66</v>
      </c>
      <c r="BA37" s="3">
        <f t="shared" si="3"/>
        <v>16869.90566</v>
      </c>
      <c r="BB37" s="3">
        <v>16964993.950000003</v>
      </c>
      <c r="BC37" s="3">
        <f t="shared" si="3"/>
        <v>16964.993950000004</v>
      </c>
      <c r="BD37" s="3">
        <v>24133020.170000006</v>
      </c>
      <c r="BE37" s="3">
        <f t="shared" si="3"/>
        <v>24133.020170000007</v>
      </c>
    </row>
    <row r="38" spans="1:57" ht="12.75">
      <c r="A38" s="1" t="s">
        <v>28</v>
      </c>
      <c r="B38" s="14">
        <v>9419</v>
      </c>
      <c r="C38" s="14">
        <v>10270</v>
      </c>
      <c r="D38" s="14">
        <v>11796</v>
      </c>
      <c r="E38" s="14">
        <v>12652</v>
      </c>
      <c r="F38" s="14">
        <v>13443</v>
      </c>
      <c r="G38" s="14">
        <v>13981</v>
      </c>
      <c r="H38" s="14">
        <v>14342.41785</v>
      </c>
      <c r="I38" s="14">
        <v>14123.244850000001</v>
      </c>
      <c r="J38" s="14">
        <v>14943.278989999999</v>
      </c>
      <c r="K38" s="1">
        <v>17671.86487</v>
      </c>
      <c r="L38" s="244">
        <f>(K38-J38)*100/J38</f>
        <v>18.259619470572453</v>
      </c>
      <c r="M38" s="244">
        <f>(K38-AC38)*100/AC38</f>
        <v>105.98979916074136</v>
      </c>
      <c r="N38" s="14">
        <v>2263</v>
      </c>
      <c r="O38" s="14">
        <v>2319</v>
      </c>
      <c r="P38" s="14">
        <v>2328</v>
      </c>
      <c r="Q38" s="14">
        <v>2519</v>
      </c>
      <c r="R38" s="14">
        <v>2670</v>
      </c>
      <c r="S38" s="14">
        <v>2985</v>
      </c>
      <c r="T38" s="14">
        <v>3668</v>
      </c>
      <c r="U38" s="14">
        <v>4203</v>
      </c>
      <c r="V38" s="14">
        <f>4554038/1000</f>
        <v>4554.038</v>
      </c>
      <c r="W38" s="14">
        <v>4213</v>
      </c>
      <c r="X38" s="14">
        <v>4479</v>
      </c>
      <c r="Y38" s="14">
        <v>4720</v>
      </c>
      <c r="Z38" s="14">
        <v>5375</v>
      </c>
      <c r="AA38" s="14">
        <v>6382</v>
      </c>
      <c r="AB38" s="14">
        <v>7733</v>
      </c>
      <c r="AC38" s="14">
        <v>8579</v>
      </c>
      <c r="AD38" s="14"/>
      <c r="AE38" s="90">
        <v>9418669.05</v>
      </c>
      <c r="AF38" s="3">
        <f>AE38/1000</f>
        <v>9418.66905</v>
      </c>
      <c r="AH38" s="120">
        <v>10270028</v>
      </c>
      <c r="AI38" s="3">
        <f>AH38/1000</f>
        <v>10270.028</v>
      </c>
      <c r="AK38" s="3">
        <v>11796343</v>
      </c>
      <c r="AL38" s="3">
        <f>AK38/1000</f>
        <v>11796.343</v>
      </c>
      <c r="AN38" s="3">
        <v>12651976</v>
      </c>
      <c r="AO38" s="3">
        <f>AN38/1000</f>
        <v>12651.976</v>
      </c>
      <c r="AQ38" s="3">
        <v>13442515</v>
      </c>
      <c r="AR38" s="3">
        <f>AQ38/1000</f>
        <v>13442.515</v>
      </c>
      <c r="AT38" s="3">
        <v>13980766</v>
      </c>
      <c r="AU38" s="3">
        <f>AT38/1000</f>
        <v>13980.766</v>
      </c>
      <c r="AW38" s="3">
        <v>14342417.85</v>
      </c>
      <c r="AX38" s="3">
        <f>AW38/1000</f>
        <v>14342.41785</v>
      </c>
      <c r="AZ38" s="3">
        <v>14123244.850000001</v>
      </c>
      <c r="BA38" s="3">
        <f t="shared" si="3"/>
        <v>14123.244850000001</v>
      </c>
      <c r="BB38" s="3">
        <v>14943278.989999998</v>
      </c>
      <c r="BC38" s="3">
        <f t="shared" si="3"/>
        <v>14943.278989999999</v>
      </c>
      <c r="BD38" s="3">
        <v>17671864.87</v>
      </c>
      <c r="BE38" s="3">
        <f t="shared" si="3"/>
        <v>17671.86487</v>
      </c>
    </row>
    <row r="39" spans="1:57" ht="12.75">
      <c r="A39" s="17" t="s">
        <v>29</v>
      </c>
      <c r="B39" s="14">
        <v>4911</v>
      </c>
      <c r="C39" s="14">
        <v>6053</v>
      </c>
      <c r="D39" s="14">
        <v>7005</v>
      </c>
      <c r="E39" s="14">
        <v>6769</v>
      </c>
      <c r="F39" s="14">
        <v>7368</v>
      </c>
      <c r="G39" s="14">
        <v>7341</v>
      </c>
      <c r="H39" s="14">
        <v>7771.554030000001</v>
      </c>
      <c r="I39" s="14">
        <v>7913.059949999999</v>
      </c>
      <c r="J39" s="14">
        <v>7795.14228</v>
      </c>
      <c r="K39" s="1">
        <v>9023.415930000001</v>
      </c>
      <c r="L39" s="244">
        <f>(K39-J39)*100/J39</f>
        <v>15.756911238828614</v>
      </c>
      <c r="M39" s="244">
        <f>(K39-AC39)*100/AC39</f>
        <v>111.5193607594937</v>
      </c>
      <c r="N39" s="24">
        <v>1383</v>
      </c>
      <c r="O39" s="24">
        <v>1482</v>
      </c>
      <c r="P39" s="24">
        <v>1582</v>
      </c>
      <c r="Q39" s="24">
        <v>1694</v>
      </c>
      <c r="R39" s="24">
        <v>1848</v>
      </c>
      <c r="S39" s="24">
        <v>2060</v>
      </c>
      <c r="T39" s="24">
        <v>2258</v>
      </c>
      <c r="U39" s="24">
        <v>2299</v>
      </c>
      <c r="V39" s="24">
        <v>2299</v>
      </c>
      <c r="W39" s="24">
        <v>2433</v>
      </c>
      <c r="X39" s="14">
        <v>2444</v>
      </c>
      <c r="Y39" s="14">
        <v>2592</v>
      </c>
      <c r="Z39" s="14">
        <v>2929</v>
      </c>
      <c r="AA39" s="14">
        <v>3642</v>
      </c>
      <c r="AB39" s="14">
        <v>4154</v>
      </c>
      <c r="AC39" s="14">
        <v>4266</v>
      </c>
      <c r="AD39" s="14"/>
      <c r="AE39" s="91">
        <v>4910668.03</v>
      </c>
      <c r="AF39" s="3">
        <f>AE39/1000</f>
        <v>4910.66803</v>
      </c>
      <c r="AH39" s="122">
        <v>6052795</v>
      </c>
      <c r="AI39" s="3">
        <f>AH39/1000</f>
        <v>6052.795</v>
      </c>
      <c r="AK39" s="3">
        <v>7005487</v>
      </c>
      <c r="AL39" s="3">
        <f>AK39/1000</f>
        <v>7005.487</v>
      </c>
      <c r="AN39" s="3">
        <v>6769035</v>
      </c>
      <c r="AO39" s="3">
        <f>AN39/1000</f>
        <v>6769.035</v>
      </c>
      <c r="AQ39" s="3">
        <v>7368409</v>
      </c>
      <c r="AR39" s="3">
        <f>AQ39/1000</f>
        <v>7368.409</v>
      </c>
      <c r="AT39" s="3">
        <v>7341488</v>
      </c>
      <c r="AU39" s="3">
        <f>AT39/1000</f>
        <v>7341.488</v>
      </c>
      <c r="AW39" s="3">
        <v>7771554.030000001</v>
      </c>
      <c r="AX39" s="3">
        <f>AW39/1000</f>
        <v>7771.554030000001</v>
      </c>
      <c r="AZ39" s="3">
        <v>7913059.949999999</v>
      </c>
      <c r="BA39" s="3">
        <f t="shared" si="3"/>
        <v>7913.059949999999</v>
      </c>
      <c r="BB39" s="3">
        <v>7795142.28</v>
      </c>
      <c r="BC39" s="3">
        <f t="shared" si="3"/>
        <v>7795.14228</v>
      </c>
      <c r="BD39" s="3">
        <v>9023415.930000002</v>
      </c>
      <c r="BE39" s="3">
        <f t="shared" si="3"/>
        <v>9023.415930000001</v>
      </c>
    </row>
    <row r="40" spans="1:28" ht="12.75">
      <c r="A40" s="1" t="s">
        <v>305</v>
      </c>
      <c r="B40" s="19"/>
      <c r="C40" s="19"/>
      <c r="D40" s="1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5"/>
      <c r="Q40" s="19"/>
      <c r="R40" s="19"/>
      <c r="S40" s="19"/>
      <c r="W40" s="19"/>
      <c r="X40" s="19"/>
      <c r="Y40" s="19"/>
      <c r="AA40" s="19"/>
      <c r="AB40" s="208"/>
    </row>
    <row r="41" spans="2:28" ht="12.75">
      <c r="B41" s="14"/>
      <c r="C41" s="14"/>
      <c r="D41" s="14"/>
      <c r="O41" s="15"/>
      <c r="Q41" s="14"/>
      <c r="R41" s="14"/>
      <c r="S41" s="14"/>
      <c r="W41" s="14"/>
      <c r="X41" s="14"/>
      <c r="Y41" s="14"/>
      <c r="AA41" s="14"/>
      <c r="AB41" s="14"/>
    </row>
    <row r="42" spans="2:28" ht="12.75">
      <c r="B42" s="14"/>
      <c r="C42" s="14"/>
      <c r="D42" s="14"/>
      <c r="O42" s="15"/>
      <c r="Q42" s="14"/>
      <c r="R42" s="14"/>
      <c r="S42" s="14"/>
      <c r="W42" s="14"/>
      <c r="X42" s="14"/>
      <c r="Y42" s="14"/>
      <c r="AA42" s="14"/>
      <c r="AB42" s="14"/>
    </row>
    <row r="43" spans="2:28" ht="12.75">
      <c r="B43" s="14"/>
      <c r="C43" s="14"/>
      <c r="D43" s="14"/>
      <c r="O43" s="15"/>
      <c r="Q43" s="14"/>
      <c r="R43" s="14"/>
      <c r="S43" s="14"/>
      <c r="W43" s="14"/>
      <c r="X43" s="14"/>
      <c r="Y43" s="14"/>
      <c r="AA43" s="14"/>
      <c r="AB43" s="14"/>
    </row>
    <row r="44" spans="2:28" ht="12.75">
      <c r="B44" s="14"/>
      <c r="C44" s="14"/>
      <c r="D44" s="14"/>
      <c r="O44" s="15"/>
      <c r="Q44" s="14"/>
      <c r="R44" s="14"/>
      <c r="S44" s="14"/>
      <c r="W44" s="14"/>
      <c r="X44" s="14"/>
      <c r="Y44" s="14"/>
      <c r="AA44" s="14"/>
      <c r="AB44" s="14"/>
    </row>
    <row r="45" spans="2:28" ht="12.75">
      <c r="B45" s="14"/>
      <c r="C45" s="14"/>
      <c r="D45" s="14"/>
      <c r="O45" s="15"/>
      <c r="Q45" s="14"/>
      <c r="R45" s="14"/>
      <c r="S45" s="14"/>
      <c r="W45" s="14"/>
      <c r="X45" s="14"/>
      <c r="Y45" s="14"/>
      <c r="AA45" s="14"/>
      <c r="AB45" s="14"/>
    </row>
    <row r="46" spans="2:28" ht="12.75">
      <c r="B46" s="14"/>
      <c r="C46" s="14"/>
      <c r="D46" s="14"/>
      <c r="O46" s="15"/>
      <c r="Y46" s="14"/>
      <c r="AA46" s="14"/>
      <c r="AB46" s="14"/>
    </row>
    <row r="47" spans="2:28" ht="12.75">
      <c r="B47" s="14"/>
      <c r="C47" s="14"/>
      <c r="D47" s="14"/>
      <c r="O47" s="15"/>
      <c r="Y47" s="14"/>
      <c r="AA47" s="14"/>
      <c r="AB47" s="14"/>
    </row>
    <row r="48" spans="2:28" ht="12.75">
      <c r="B48" s="14"/>
      <c r="C48" s="14"/>
      <c r="D48" s="14"/>
      <c r="O48" s="15"/>
      <c r="Y48" s="14"/>
      <c r="AA48" s="14"/>
      <c r="AB48" s="14"/>
    </row>
    <row r="49" spans="2:28" ht="12.75">
      <c r="B49" s="14"/>
      <c r="C49" s="14"/>
      <c r="D49" s="14"/>
      <c r="O49" s="15"/>
      <c r="Y49" s="14"/>
      <c r="AA49" s="14"/>
      <c r="AB49" s="14"/>
    </row>
    <row r="50" spans="2:28" ht="12.75">
      <c r="B50" s="14"/>
      <c r="C50" s="14"/>
      <c r="D50" s="14"/>
      <c r="O50" s="15"/>
      <c r="Y50" s="14"/>
      <c r="AA50" s="14"/>
      <c r="AB50" s="14"/>
    </row>
    <row r="51" spans="2:28" ht="12.75">
      <c r="B51" s="14"/>
      <c r="C51" s="14"/>
      <c r="D51" s="14"/>
      <c r="O51" s="15"/>
      <c r="Y51" s="14"/>
      <c r="AA51" s="14"/>
      <c r="AB51" s="14"/>
    </row>
    <row r="52" spans="2:28" ht="12.75">
      <c r="B52" s="14"/>
      <c r="C52" s="14"/>
      <c r="D52" s="14"/>
      <c r="O52" s="15"/>
      <c r="Y52" s="14"/>
      <c r="AA52" s="14"/>
      <c r="AB52" s="14"/>
    </row>
    <row r="53" ht="12.75">
      <c r="O53" s="16"/>
    </row>
    <row r="54" ht="12.75">
      <c r="O54" s="16"/>
    </row>
    <row r="55" ht="12.75">
      <c r="O55" s="16"/>
    </row>
    <row r="56" ht="12.75">
      <c r="O56" s="16"/>
    </row>
    <row r="57" ht="12.75">
      <c r="O57" s="16"/>
    </row>
    <row r="58" ht="12.75">
      <c r="O58" s="16"/>
    </row>
  </sheetData>
  <sheetProtection password="CAF5" sheet="1"/>
  <mergeCells count="5">
    <mergeCell ref="AK9:AL9"/>
    <mergeCell ref="AN9:AO9"/>
    <mergeCell ref="AQ9:AR9"/>
    <mergeCell ref="AT9:AU9"/>
    <mergeCell ref="A4:M4"/>
  </mergeCells>
  <printOptions/>
  <pageMargins left="0.54" right="0.45" top="1" bottom="0.87" header="0.5" footer="0.5"/>
  <pageSetup fitToHeight="1" fitToWidth="1" orientation="landscape" scale="76" r:id="rId1"/>
  <headerFooter scaleWithDoc="0" alignWithMargins="0">
    <oddFooter>&amp;L&amp;"Arial,Italic"&amp;10MSDE-LFRO   10 / 2011&amp;C&amp;"Arial,Regular"&amp;10- 5 -&amp;R&amp;"Arial,Italic"&amp;10Selected Financial Data - Part 4</oddFooter>
  </headerFooter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2"/>
  <sheetViews>
    <sheetView workbookViewId="0" topLeftCell="A28">
      <selection activeCell="A40" sqref="A40"/>
    </sheetView>
  </sheetViews>
  <sheetFormatPr defaultColWidth="12.875" defaultRowHeight="15.75"/>
  <cols>
    <col min="1" max="1" width="12.875" style="1" customWidth="1"/>
    <col min="2" max="11" width="12.625" style="1" customWidth="1"/>
    <col min="12" max="12" width="7.875" style="1" customWidth="1"/>
    <col min="13" max="13" width="8.375" style="1" customWidth="1"/>
    <col min="14" max="15" width="9.375" style="1" bestFit="1" customWidth="1"/>
    <col min="16" max="22" width="10.125" style="1" customWidth="1"/>
    <col min="23" max="23" width="12.50390625" style="3" bestFit="1" customWidth="1"/>
    <col min="24" max="24" width="10.125" style="1" customWidth="1"/>
    <col min="25" max="25" width="12.625" style="1" customWidth="1"/>
    <col min="26" max="26" width="10.875" style="3" bestFit="1" customWidth="1"/>
    <col min="27" max="28" width="12.625" style="1" customWidth="1"/>
    <col min="29" max="29" width="9.375" style="3" bestFit="1" customWidth="1"/>
    <col min="30" max="30" width="9.375" style="3" customWidth="1"/>
    <col min="31" max="31" width="12.50390625" style="3" bestFit="1" customWidth="1"/>
    <col min="32" max="32" width="12.875" style="3" customWidth="1"/>
    <col min="33" max="33" width="3.125" style="3" customWidth="1"/>
    <col min="34" max="35" width="12.875" style="3" customWidth="1"/>
    <col min="36" max="36" width="5.625" style="3" customWidth="1"/>
    <col min="37" max="40" width="12.875" style="3" customWidth="1"/>
    <col min="41" max="41" width="3.375" style="3" customWidth="1"/>
    <col min="42" max="43" width="12.875" style="3" customWidth="1"/>
    <col min="44" max="44" width="2.625" style="3" customWidth="1"/>
    <col min="45" max="45" width="13.375" style="3" customWidth="1"/>
    <col min="46" max="46" width="12.875" style="3" customWidth="1"/>
    <col min="47" max="47" width="4.25390625" style="3" customWidth="1"/>
    <col min="48" max="49" width="12.875" style="3" customWidth="1"/>
    <col min="50" max="50" width="3.625" style="3" customWidth="1"/>
    <col min="51" max="51" width="12.875" style="3" customWidth="1"/>
    <col min="52" max="52" width="14.25390625" style="3" customWidth="1"/>
    <col min="53" max="16384" width="12.875" style="3" customWidth="1"/>
  </cols>
  <sheetData>
    <row r="1" spans="1:28" s="126" customFormat="1" ht="15.75" customHeight="1">
      <c r="A1" s="115" t="s">
        <v>93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201"/>
      <c r="O1" s="115"/>
      <c r="P1" s="94"/>
      <c r="Q1" s="2"/>
      <c r="R1" s="2"/>
      <c r="S1" s="2"/>
      <c r="T1" s="94"/>
      <c r="U1" s="94"/>
      <c r="V1" s="94"/>
      <c r="X1" s="10"/>
      <c r="Y1" s="115"/>
      <c r="AA1" s="201"/>
      <c r="AB1" s="201"/>
    </row>
    <row r="2" spans="1:28" s="126" customFormat="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01"/>
      <c r="O2" s="115"/>
      <c r="P2" s="94"/>
      <c r="Q2" s="2"/>
      <c r="R2" s="2"/>
      <c r="S2" s="2"/>
      <c r="T2" s="94"/>
      <c r="U2" s="94"/>
      <c r="V2" s="94"/>
      <c r="X2" s="2"/>
      <c r="Y2" s="115"/>
      <c r="AA2" s="201"/>
      <c r="AB2" s="201"/>
    </row>
    <row r="3" spans="1:28" s="210" customFormat="1" ht="12.75">
      <c r="A3" s="209" t="s">
        <v>187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60"/>
      <c r="O3" s="111"/>
      <c r="P3" s="111"/>
      <c r="Q3" s="111"/>
      <c r="R3" s="111"/>
      <c r="S3" s="111"/>
      <c r="T3" s="111"/>
      <c r="U3" s="111"/>
      <c r="V3" s="111"/>
      <c r="X3" s="111"/>
      <c r="Y3" s="111"/>
      <c r="AA3" s="260"/>
      <c r="AB3" s="260"/>
    </row>
    <row r="4" spans="1:34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201"/>
      <c r="P4" s="201"/>
      <c r="Q4" s="10"/>
      <c r="W4" s="1"/>
      <c r="X4" s="2"/>
      <c r="Y4" s="2"/>
      <c r="Z4" s="10"/>
      <c r="AA4" s="2"/>
      <c r="AB4" s="2"/>
      <c r="AC4" s="2"/>
      <c r="AD4" s="2"/>
      <c r="AE4" s="2"/>
      <c r="AF4" s="2"/>
      <c r="AG4" s="2"/>
      <c r="AH4" s="1"/>
    </row>
    <row r="5" spans="1:30" ht="13.5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Z5" s="1"/>
      <c r="AA5" s="68"/>
      <c r="AB5" s="68"/>
      <c r="AC5" s="1"/>
      <c r="AD5" s="1"/>
    </row>
    <row r="6" spans="1:52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7"/>
      <c r="AY6" s="317" t="s">
        <v>270</v>
      </c>
      <c r="AZ6" s="317"/>
    </row>
    <row r="7" spans="12:52" ht="12.75">
      <c r="L7" s="6" t="s">
        <v>34</v>
      </c>
      <c r="M7" s="6"/>
      <c r="W7" s="1"/>
      <c r="Z7" s="1"/>
      <c r="AC7" s="1"/>
      <c r="AD7" s="1"/>
      <c r="AY7" s="317"/>
      <c r="AZ7" s="317"/>
    </row>
    <row r="8" spans="2:56" ht="12.75"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W8" s="1"/>
      <c r="Z8" s="1"/>
      <c r="AA8" s="7"/>
      <c r="AB8" s="7"/>
      <c r="AC8" s="1"/>
      <c r="AD8" s="1"/>
      <c r="AT8" s="3" t="s">
        <v>210</v>
      </c>
      <c r="AW8" s="3" t="s">
        <v>210</v>
      </c>
      <c r="AZ8" s="189" t="s">
        <v>209</v>
      </c>
      <c r="BB8" s="189" t="s">
        <v>209</v>
      </c>
      <c r="BD8" s="189" t="s">
        <v>209</v>
      </c>
    </row>
    <row r="9" spans="1:56" ht="13.5" thickBot="1">
      <c r="A9" s="8" t="s">
        <v>1</v>
      </c>
      <c r="B9" s="9" t="s">
        <v>105</v>
      </c>
      <c r="C9" s="9" t="s">
        <v>161</v>
      </c>
      <c r="D9" s="9" t="s">
        <v>168</v>
      </c>
      <c r="E9" s="9" t="s">
        <v>184</v>
      </c>
      <c r="F9" s="9" t="s">
        <v>194</v>
      </c>
      <c r="G9" s="9" t="s">
        <v>208</v>
      </c>
      <c r="H9" s="9" t="s">
        <v>243</v>
      </c>
      <c r="I9" s="9" t="s">
        <v>256</v>
      </c>
      <c r="J9" s="9" t="s">
        <v>269</v>
      </c>
      <c r="K9" s="9" t="s">
        <v>284</v>
      </c>
      <c r="L9" s="9" t="s">
        <v>84</v>
      </c>
      <c r="M9" s="9" t="s">
        <v>84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8" t="s">
        <v>181</v>
      </c>
      <c r="AA9" s="34" t="s">
        <v>182</v>
      </c>
      <c r="AB9" s="40" t="s">
        <v>183</v>
      </c>
      <c r="AC9" s="40" t="s">
        <v>104</v>
      </c>
      <c r="AD9" s="40"/>
      <c r="AE9" s="316" t="s">
        <v>105</v>
      </c>
      <c r="AF9" s="316"/>
      <c r="AH9" s="316" t="s">
        <v>161</v>
      </c>
      <c r="AI9" s="316"/>
      <c r="AK9" s="316" t="s">
        <v>168</v>
      </c>
      <c r="AL9" s="316"/>
      <c r="AM9" s="316" t="s">
        <v>184</v>
      </c>
      <c r="AN9" s="316"/>
      <c r="AP9" s="316" t="s">
        <v>194</v>
      </c>
      <c r="AQ9" s="316"/>
      <c r="AS9" s="20" t="s">
        <v>211</v>
      </c>
      <c r="AT9" s="20" t="s">
        <v>211</v>
      </c>
      <c r="AV9" s="20" t="s">
        <v>244</v>
      </c>
      <c r="AW9" s="20" t="s">
        <v>245</v>
      </c>
      <c r="AY9" s="20" t="s">
        <v>256</v>
      </c>
      <c r="AZ9" s="20" t="s">
        <v>256</v>
      </c>
      <c r="BA9" s="20" t="s">
        <v>269</v>
      </c>
      <c r="BB9" s="20" t="s">
        <v>269</v>
      </c>
      <c r="BC9" s="20" t="s">
        <v>284</v>
      </c>
      <c r="BD9" s="20" t="s">
        <v>284</v>
      </c>
    </row>
    <row r="10" spans="1:56" ht="13.5" thickTop="1">
      <c r="A10" s="7" t="s">
        <v>5</v>
      </c>
      <c r="B10" s="12">
        <f aca="true" t="shared" si="0" ref="B10:G10">SUM(B12:B39)</f>
        <v>7837675</v>
      </c>
      <c r="C10" s="12">
        <f t="shared" si="0"/>
        <v>8400373</v>
      </c>
      <c r="D10" s="12">
        <f t="shared" si="0"/>
        <v>8611075</v>
      </c>
      <c r="E10" s="12">
        <f t="shared" si="0"/>
        <v>8819712</v>
      </c>
      <c r="F10" s="12">
        <f t="shared" si="0"/>
        <v>9585235</v>
      </c>
      <c r="G10" s="12">
        <f t="shared" si="0"/>
        <v>10433445.607500002</v>
      </c>
      <c r="H10" s="12">
        <f>SUM(H12:H39)</f>
        <v>11130529.82387</v>
      </c>
      <c r="I10" s="12">
        <f>SUM(I12:I39)</f>
        <v>12761108.192230001</v>
      </c>
      <c r="J10" s="12">
        <f>SUM(J12:J39)</f>
        <v>12711520.025019994</v>
      </c>
      <c r="K10" s="12">
        <f>SUM(K12:K39)</f>
        <v>13053883.492119001</v>
      </c>
      <c r="L10" s="244">
        <f>(K10-J10)*100/J10</f>
        <v>2.693332240559238</v>
      </c>
      <c r="M10" s="244">
        <f>(K10-AC10)*100/AC10</f>
        <v>79.70159814045596</v>
      </c>
      <c r="N10" s="13">
        <v>2652857</v>
      </c>
      <c r="O10" s="11">
        <v>2879791</v>
      </c>
      <c r="P10" s="11">
        <v>3125899</v>
      </c>
      <c r="Q10" s="11">
        <v>3471375</v>
      </c>
      <c r="R10" s="11">
        <f aca="true" t="shared" si="1" ref="R10:W10">SUM(R12:R39)</f>
        <v>3811804</v>
      </c>
      <c r="S10" s="11">
        <f t="shared" si="1"/>
        <v>4272192</v>
      </c>
      <c r="T10" s="11">
        <f t="shared" si="1"/>
        <v>4588943</v>
      </c>
      <c r="U10" s="11">
        <f t="shared" si="1"/>
        <v>4666881</v>
      </c>
      <c r="V10" s="11">
        <f t="shared" si="1"/>
        <v>5073317.250000001</v>
      </c>
      <c r="W10" s="11">
        <f t="shared" si="1"/>
        <v>5279159</v>
      </c>
      <c r="X10" s="12">
        <f>SUM(X12:X39)</f>
        <v>5547321</v>
      </c>
      <c r="Y10" s="12">
        <f>SUM(Y12:Y39)</f>
        <v>5738451</v>
      </c>
      <c r="Z10" s="11">
        <v>6121487</v>
      </c>
      <c r="AA10" s="12">
        <f>SUM(AA12:AA39)</f>
        <v>6416894</v>
      </c>
      <c r="AB10" s="12">
        <f>SUM(AB12:AB39)</f>
        <v>6762380</v>
      </c>
      <c r="AC10" s="12">
        <f>SUM(AC12:AC39)</f>
        <v>7264200</v>
      </c>
      <c r="AD10" s="12"/>
      <c r="AE10" s="11">
        <f>SUM(AE12:AE39)</f>
        <v>7837675131</v>
      </c>
      <c r="AF10" s="11">
        <f>SUM(AF12:AF39)</f>
        <v>7837675.131</v>
      </c>
      <c r="AH10" s="11">
        <f>SUM(AH12:AH39)</f>
        <v>8400371689</v>
      </c>
      <c r="AI10" s="11">
        <f>SUM(AI12:AI39)</f>
        <v>8400371.689000001</v>
      </c>
      <c r="AK10" s="11">
        <f>SUM(AK12:AK39)</f>
        <v>8611076595</v>
      </c>
      <c r="AM10" s="11">
        <f>SUM(AM12:AM39)</f>
        <v>8819713939</v>
      </c>
      <c r="AN10" s="11">
        <f>SUM(AN12:AN39)</f>
        <v>8819713.939</v>
      </c>
      <c r="AP10" s="224">
        <v>9585238198</v>
      </c>
      <c r="AQ10" s="63">
        <f>SUM(AQ12:AQ39)</f>
        <v>9585238.199000001</v>
      </c>
      <c r="AS10" s="63">
        <f>SUM(AS12:AS39)</f>
        <v>10433445607.5</v>
      </c>
      <c r="AT10" s="63">
        <f>SUM(AT12:AT39)</f>
        <v>10433445.607500002</v>
      </c>
      <c r="AV10" s="63">
        <f>SUM(AV12:AV39)</f>
        <v>11130529823.87</v>
      </c>
      <c r="AW10" s="63">
        <f>SUM(AW12:AW39)</f>
        <v>11130529.82387</v>
      </c>
      <c r="AY10" s="63">
        <f aca="true" t="shared" si="2" ref="AY10:BD10">SUM(AY12:AY39)</f>
        <v>12761108192.230001</v>
      </c>
      <c r="AZ10" s="63">
        <f t="shared" si="2"/>
        <v>12761108.192230001</v>
      </c>
      <c r="BA10" s="63">
        <f t="shared" si="2"/>
        <v>12711520025.019999</v>
      </c>
      <c r="BB10" s="63">
        <f t="shared" si="2"/>
        <v>12711520.025019994</v>
      </c>
      <c r="BC10" s="63">
        <f t="shared" si="2"/>
        <v>13053883492.119001</v>
      </c>
      <c r="BD10" s="63">
        <f t="shared" si="2"/>
        <v>13053883.492119001</v>
      </c>
    </row>
    <row r="11" spans="2:45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M11" s="14"/>
      <c r="P11" s="14"/>
      <c r="V11" s="89"/>
      <c r="W11" s="89"/>
      <c r="X11" s="89"/>
      <c r="Y11" s="89"/>
      <c r="Z11" s="1"/>
      <c r="AA11" s="89"/>
      <c r="AB11" s="89"/>
      <c r="AC11" s="89"/>
      <c r="AD11" s="89"/>
      <c r="AS11" s="221"/>
    </row>
    <row r="12" spans="1:56" ht="12.75">
      <c r="A12" s="1" t="s">
        <v>6</v>
      </c>
      <c r="B12" s="14">
        <v>83612</v>
      </c>
      <c r="C12" s="14">
        <v>88498</v>
      </c>
      <c r="D12" s="14">
        <v>92659</v>
      </c>
      <c r="E12" s="14">
        <v>95889</v>
      </c>
      <c r="F12" s="14">
        <v>99718</v>
      </c>
      <c r="G12" s="14">
        <v>119301.969</v>
      </c>
      <c r="H12" s="14">
        <v>137500.42151000001</v>
      </c>
      <c r="I12" s="14">
        <v>134873.43864999997</v>
      </c>
      <c r="J12" s="14">
        <v>137215.55651999998</v>
      </c>
      <c r="K12" s="14">
        <v>135795.34440000003</v>
      </c>
      <c r="L12" s="244">
        <f>(K12-J12)*100/J12</f>
        <v>-1.0350226723694762</v>
      </c>
      <c r="M12" s="244">
        <f>(K12-AC12)*100/AC12</f>
        <v>54.47087293823232</v>
      </c>
      <c r="N12" s="14">
        <v>39947</v>
      </c>
      <c r="O12" s="14">
        <v>44482</v>
      </c>
      <c r="P12" s="14">
        <v>44210</v>
      </c>
      <c r="Q12" s="14">
        <v>46611</v>
      </c>
      <c r="R12" s="14">
        <v>50341</v>
      </c>
      <c r="S12" s="14">
        <v>52581</v>
      </c>
      <c r="T12" s="14">
        <v>55879</v>
      </c>
      <c r="U12" s="14">
        <v>68200</v>
      </c>
      <c r="V12" s="14">
        <f>61349939/1000</f>
        <v>61349.939</v>
      </c>
      <c r="W12" s="14">
        <v>66569</v>
      </c>
      <c r="X12" s="14">
        <v>69015</v>
      </c>
      <c r="Y12" s="14">
        <v>74490</v>
      </c>
      <c r="Z12" s="14">
        <v>77377</v>
      </c>
      <c r="AA12" s="14">
        <v>77932</v>
      </c>
      <c r="AB12" s="14">
        <v>84129</v>
      </c>
      <c r="AC12" s="14">
        <v>87910</v>
      </c>
      <c r="AD12" s="14"/>
      <c r="AE12" s="3">
        <v>83612137</v>
      </c>
      <c r="AF12" s="3">
        <f>AE12/1000</f>
        <v>83612.137</v>
      </c>
      <c r="AH12" s="3">
        <v>88497640</v>
      </c>
      <c r="AI12" s="3">
        <f>AH12/1000</f>
        <v>88497.64</v>
      </c>
      <c r="AK12" s="3">
        <v>92659169</v>
      </c>
      <c r="AL12" s="3">
        <f>AK12/1000</f>
        <v>92659.169</v>
      </c>
      <c r="AM12" s="3">
        <v>95889217</v>
      </c>
      <c r="AN12" s="3">
        <f>AM12/1000</f>
        <v>95889.217</v>
      </c>
      <c r="AP12" s="3">
        <v>99718433</v>
      </c>
      <c r="AQ12" s="3">
        <f>AP12/1000</f>
        <v>99718.433</v>
      </c>
      <c r="AS12" s="221">
        <v>119301969</v>
      </c>
      <c r="AT12" s="3">
        <f>AS12/1000</f>
        <v>119301.969</v>
      </c>
      <c r="AV12" s="3">
        <v>137500421.51000002</v>
      </c>
      <c r="AW12" s="3">
        <f>AV12/1000</f>
        <v>137500.42151000001</v>
      </c>
      <c r="AY12" s="3">
        <v>134873438.64999998</v>
      </c>
      <c r="AZ12" s="3">
        <f>AY12/1000</f>
        <v>134873.43864999997</v>
      </c>
      <c r="BA12" s="3">
        <v>137215556.51999998</v>
      </c>
      <c r="BB12" s="3">
        <f>BA12/1000</f>
        <v>137215.55651999998</v>
      </c>
      <c r="BC12" s="3">
        <v>135795344.40000004</v>
      </c>
      <c r="BD12" s="3">
        <f>BC12/1000</f>
        <v>135795.34440000003</v>
      </c>
    </row>
    <row r="13" spans="1:56" ht="12.75">
      <c r="A13" s="1" t="s">
        <v>7</v>
      </c>
      <c r="B13" s="14">
        <v>679587</v>
      </c>
      <c r="C13" s="14">
        <v>702504</v>
      </c>
      <c r="D13" s="14">
        <v>697026</v>
      </c>
      <c r="E13" s="14">
        <v>721240</v>
      </c>
      <c r="F13" s="14">
        <v>710658</v>
      </c>
      <c r="G13" s="14">
        <v>840121.586</v>
      </c>
      <c r="H13" s="14">
        <v>925021.3957400002</v>
      </c>
      <c r="I13" s="14">
        <v>1003678.49385</v>
      </c>
      <c r="J13" s="14">
        <v>1069770.6511499998</v>
      </c>
      <c r="K13" s="14">
        <v>1079491.1736589998</v>
      </c>
      <c r="L13" s="244">
        <f>(K13-J13)*100/J13</f>
        <v>0.9086548129312112</v>
      </c>
      <c r="M13" s="244">
        <f>(K13-AC13)*100/AC13</f>
        <v>79.08959258800262</v>
      </c>
      <c r="N13" s="14">
        <v>240771</v>
      </c>
      <c r="O13" s="14">
        <v>255201</v>
      </c>
      <c r="P13" s="14">
        <v>280444</v>
      </c>
      <c r="Q13" s="14">
        <v>314069</v>
      </c>
      <c r="R13" s="14">
        <v>347406</v>
      </c>
      <c r="S13" s="14">
        <v>369668</v>
      </c>
      <c r="T13" s="14">
        <v>401420</v>
      </c>
      <c r="U13" s="14">
        <v>402470</v>
      </c>
      <c r="V13" s="14">
        <f>430188126/1000</f>
        <v>430188.126</v>
      </c>
      <c r="W13" s="14">
        <v>449722</v>
      </c>
      <c r="X13" s="14">
        <v>487550</v>
      </c>
      <c r="Y13" s="14">
        <v>495770</v>
      </c>
      <c r="Z13" s="14">
        <v>528511</v>
      </c>
      <c r="AA13" s="14">
        <v>541341</v>
      </c>
      <c r="AB13" s="14">
        <v>552841</v>
      </c>
      <c r="AC13" s="14">
        <v>602766</v>
      </c>
      <c r="AD13" s="14"/>
      <c r="AE13" s="3">
        <v>679586781</v>
      </c>
      <c r="AF13" s="3">
        <f aca="true" t="shared" si="3" ref="AF13:AF39">AE13/1000</f>
        <v>679586.781</v>
      </c>
      <c r="AH13" s="3">
        <v>702504147</v>
      </c>
      <c r="AI13" s="3">
        <f aca="true" t="shared" si="4" ref="AI13:AI39">AH13/1000</f>
        <v>702504.147</v>
      </c>
      <c r="AK13" s="3">
        <v>697025670</v>
      </c>
      <c r="AL13" s="3">
        <f>AK13/1000</f>
        <v>697025.67</v>
      </c>
      <c r="AM13" s="3">
        <v>721240245</v>
      </c>
      <c r="AN13" s="3">
        <f>AM13/1000</f>
        <v>721240.245</v>
      </c>
      <c r="AP13" s="3">
        <v>710658181</v>
      </c>
      <c r="AQ13" s="3">
        <f>AP13/1000</f>
        <v>710658.181</v>
      </c>
      <c r="AS13" s="221">
        <v>840121586</v>
      </c>
      <c r="AT13" s="3">
        <f>AS13/1000</f>
        <v>840121.586</v>
      </c>
      <c r="AV13" s="3">
        <v>925021395.7400001</v>
      </c>
      <c r="AW13" s="3">
        <f>AV13/1000</f>
        <v>925021.3957400002</v>
      </c>
      <c r="AY13" s="3">
        <v>1003678493.85</v>
      </c>
      <c r="AZ13" s="3">
        <f>AY13/1000</f>
        <v>1003678.49385</v>
      </c>
      <c r="BA13" s="3">
        <v>1069770651.1499999</v>
      </c>
      <c r="BB13" s="3">
        <f>BA13/1000</f>
        <v>1069770.6511499998</v>
      </c>
      <c r="BC13" s="3">
        <v>1079491173.659</v>
      </c>
      <c r="BD13" s="3">
        <f>BC13/1000</f>
        <v>1079491.1736589998</v>
      </c>
    </row>
    <row r="14" spans="1:56" ht="12.75">
      <c r="A14" s="1" t="s">
        <v>8</v>
      </c>
      <c r="B14" s="14">
        <v>979019</v>
      </c>
      <c r="C14" s="14">
        <v>1016083</v>
      </c>
      <c r="D14" s="14">
        <v>1062589</v>
      </c>
      <c r="E14" s="14">
        <v>975457</v>
      </c>
      <c r="F14" s="14">
        <v>964583</v>
      </c>
      <c r="G14" s="14">
        <v>1068652.694</v>
      </c>
      <c r="H14" s="14">
        <v>1246573.45509</v>
      </c>
      <c r="I14" s="14">
        <v>1367506.2356899998</v>
      </c>
      <c r="J14" s="14">
        <v>1357270.3777499995</v>
      </c>
      <c r="K14" s="14">
        <v>1358247.1824599998</v>
      </c>
      <c r="L14" s="244">
        <f>(K14-J14)*100/J14</f>
        <v>0.07196832156755498</v>
      </c>
      <c r="M14" s="244">
        <f>(K14-AC14)*100/AC14</f>
        <v>48.528185416486664</v>
      </c>
      <c r="N14" s="14">
        <v>387361</v>
      </c>
      <c r="O14" s="14">
        <v>414827</v>
      </c>
      <c r="P14" s="14">
        <v>435488</v>
      </c>
      <c r="Q14" s="14">
        <v>458529</v>
      </c>
      <c r="R14" s="14">
        <v>510962</v>
      </c>
      <c r="S14" s="14">
        <v>553922</v>
      </c>
      <c r="T14" s="14">
        <v>593452</v>
      </c>
      <c r="U14" s="14">
        <v>614636</v>
      </c>
      <c r="V14" s="14">
        <f>652603813/1000</f>
        <v>652603.813</v>
      </c>
      <c r="W14" s="14">
        <v>680866</v>
      </c>
      <c r="X14" s="14">
        <v>696617</v>
      </c>
      <c r="Y14" s="14">
        <v>720627</v>
      </c>
      <c r="Z14" s="14">
        <v>766520</v>
      </c>
      <c r="AA14" s="14">
        <v>834709</v>
      </c>
      <c r="AB14" s="14">
        <v>859391</v>
      </c>
      <c r="AC14" s="14">
        <v>914471</v>
      </c>
      <c r="AD14" s="14"/>
      <c r="AE14" s="3">
        <v>979019191</v>
      </c>
      <c r="AF14" s="3">
        <f t="shared" si="3"/>
        <v>979019.191</v>
      </c>
      <c r="AH14" s="3">
        <v>1016082531</v>
      </c>
      <c r="AI14" s="3">
        <f t="shared" si="4"/>
        <v>1016082.531</v>
      </c>
      <c r="AK14" s="3">
        <v>1062589377</v>
      </c>
      <c r="AL14" s="3">
        <f>AK14/1000</f>
        <v>1062589.377</v>
      </c>
      <c r="AM14" s="3">
        <v>975456841</v>
      </c>
      <c r="AN14" s="3">
        <f>AM14/1000</f>
        <v>975456.841</v>
      </c>
      <c r="AP14" s="3">
        <v>964583221</v>
      </c>
      <c r="AQ14" s="3">
        <f>AP14/1000</f>
        <v>964583.221</v>
      </c>
      <c r="AS14" s="221">
        <v>1068652694</v>
      </c>
      <c r="AT14" s="3">
        <f>AS14/1000</f>
        <v>1068652.694</v>
      </c>
      <c r="AV14" s="3">
        <v>1246573455.0900002</v>
      </c>
      <c r="AW14" s="3">
        <f>AV14/1000</f>
        <v>1246573.45509</v>
      </c>
      <c r="AY14" s="3">
        <v>1367506235.6899998</v>
      </c>
      <c r="AZ14" s="3">
        <f>AY14/1000</f>
        <v>1367506.2356899998</v>
      </c>
      <c r="BA14" s="3">
        <v>1357270377.7499995</v>
      </c>
      <c r="BB14" s="3">
        <f>BA14/1000</f>
        <v>1357270.3777499995</v>
      </c>
      <c r="BC14" s="3">
        <v>1358247182.4599998</v>
      </c>
      <c r="BD14" s="3">
        <f>BC14/1000</f>
        <v>1358247.1824599998</v>
      </c>
    </row>
    <row r="15" spans="1:56" ht="12.75">
      <c r="A15" s="1" t="s">
        <v>9</v>
      </c>
      <c r="B15" s="14">
        <v>1007333</v>
      </c>
      <c r="C15" s="14">
        <v>1107094</v>
      </c>
      <c r="D15" s="14">
        <v>981919</v>
      </c>
      <c r="E15" s="14">
        <v>1067202</v>
      </c>
      <c r="F15" s="14">
        <v>1136202</v>
      </c>
      <c r="G15" s="14">
        <v>1216816.755</v>
      </c>
      <c r="H15" s="14">
        <v>1240716.3597800003</v>
      </c>
      <c r="I15" s="14">
        <v>1479360.5409500005</v>
      </c>
      <c r="J15" s="14">
        <v>1447401.8663599999</v>
      </c>
      <c r="K15" s="14">
        <v>1516936.6807000004</v>
      </c>
      <c r="L15" s="244">
        <f>(K15-J15)*100/J15</f>
        <v>4.80411252438621</v>
      </c>
      <c r="M15" s="244">
        <f>(K15-AC15)*100/AC15</f>
        <v>71.00587449426034</v>
      </c>
      <c r="N15" s="14">
        <v>364778</v>
      </c>
      <c r="O15" s="14">
        <v>390774</v>
      </c>
      <c r="P15" s="14">
        <v>413653</v>
      </c>
      <c r="Q15" s="14">
        <v>437691</v>
      </c>
      <c r="R15" s="14">
        <v>486218</v>
      </c>
      <c r="S15" s="14">
        <v>536742</v>
      </c>
      <c r="T15" s="14">
        <v>557131</v>
      </c>
      <c r="U15" s="14">
        <v>583666</v>
      </c>
      <c r="V15" s="14">
        <f>607021644/1000</f>
        <v>607021.644</v>
      </c>
      <c r="W15" s="14">
        <v>635208</v>
      </c>
      <c r="X15" s="14">
        <v>693762</v>
      </c>
      <c r="Y15" s="14">
        <v>701708</v>
      </c>
      <c r="Z15" s="14">
        <v>755038</v>
      </c>
      <c r="AA15" s="14">
        <v>814182</v>
      </c>
      <c r="AB15" s="14">
        <v>842137</v>
      </c>
      <c r="AC15" s="14">
        <v>887067</v>
      </c>
      <c r="AD15" s="14"/>
      <c r="AE15" s="3">
        <v>1007333051</v>
      </c>
      <c r="AF15" s="3">
        <f t="shared" si="3"/>
        <v>1007333.051</v>
      </c>
      <c r="AH15" s="3">
        <v>1107094426</v>
      </c>
      <c r="AI15" s="3">
        <f t="shared" si="4"/>
        <v>1107094.426</v>
      </c>
      <c r="AK15" s="3">
        <v>981918653</v>
      </c>
      <c r="AL15" s="3">
        <f>AK15/1000</f>
        <v>981918.653</v>
      </c>
      <c r="AM15" s="3">
        <v>1067201659</v>
      </c>
      <c r="AN15" s="3">
        <f>AM15/1000</f>
        <v>1067201.659</v>
      </c>
      <c r="AP15" s="3">
        <v>1136201804</v>
      </c>
      <c r="AQ15" s="3">
        <f>AP15/1000</f>
        <v>1136201.804</v>
      </c>
      <c r="AS15" s="221">
        <v>1216816755</v>
      </c>
      <c r="AT15" s="3">
        <f>AS15/1000</f>
        <v>1216816.755</v>
      </c>
      <c r="AV15" s="3">
        <v>1240716359.7800002</v>
      </c>
      <c r="AW15" s="3">
        <f>AV15/1000</f>
        <v>1240716.3597800003</v>
      </c>
      <c r="AY15" s="3">
        <v>1479360540.9500005</v>
      </c>
      <c r="AZ15" s="3">
        <f>AY15/1000</f>
        <v>1479360.5409500005</v>
      </c>
      <c r="BA15" s="3">
        <v>1447401866.36</v>
      </c>
      <c r="BB15" s="3">
        <f>BA15/1000</f>
        <v>1447401.8663599999</v>
      </c>
      <c r="BC15" s="3">
        <v>1516936680.7000003</v>
      </c>
      <c r="BD15" s="3">
        <f>BC15/1000</f>
        <v>1516936.6807000004</v>
      </c>
    </row>
    <row r="16" spans="1:56" ht="12.75">
      <c r="A16" s="1" t="s">
        <v>10</v>
      </c>
      <c r="B16" s="14">
        <v>122464</v>
      </c>
      <c r="C16" s="14">
        <v>133731</v>
      </c>
      <c r="D16" s="14">
        <v>181447</v>
      </c>
      <c r="E16" s="14">
        <v>157222</v>
      </c>
      <c r="F16" s="14">
        <v>173449</v>
      </c>
      <c r="G16" s="14">
        <v>187252.09350000002</v>
      </c>
      <c r="H16" s="14">
        <v>187648.358</v>
      </c>
      <c r="I16" s="14">
        <v>229128.47235000008</v>
      </c>
      <c r="J16" s="14">
        <v>232929.23352000004</v>
      </c>
      <c r="K16" s="14">
        <v>233605.70125999997</v>
      </c>
      <c r="L16" s="244">
        <f>(K16-J16)*100/J16</f>
        <v>0.29041770746300544</v>
      </c>
      <c r="M16" s="244">
        <f>(K16-AC16)*100/AC16</f>
        <v>88.07621188651292</v>
      </c>
      <c r="N16" s="14">
        <v>29819</v>
      </c>
      <c r="O16" s="14">
        <v>35914</v>
      </c>
      <c r="P16" s="14">
        <v>35146</v>
      </c>
      <c r="Q16" s="14">
        <v>43777</v>
      </c>
      <c r="R16" s="14">
        <v>48350</v>
      </c>
      <c r="S16" s="14">
        <v>54245</v>
      </c>
      <c r="T16" s="14">
        <v>69943</v>
      </c>
      <c r="U16" s="14">
        <v>67644</v>
      </c>
      <c r="V16" s="14">
        <f>69798782/1000</f>
        <v>69798.782</v>
      </c>
      <c r="W16" s="14">
        <v>91485</v>
      </c>
      <c r="X16" s="14">
        <v>83181</v>
      </c>
      <c r="Y16" s="14">
        <v>94248</v>
      </c>
      <c r="Z16" s="14">
        <v>99389</v>
      </c>
      <c r="AA16" s="14">
        <v>96406</v>
      </c>
      <c r="AB16" s="14">
        <v>119213</v>
      </c>
      <c r="AC16" s="14">
        <v>124208</v>
      </c>
      <c r="AD16" s="14"/>
      <c r="AE16" s="3">
        <v>122464449</v>
      </c>
      <c r="AF16" s="3">
        <f t="shared" si="3"/>
        <v>122464.449</v>
      </c>
      <c r="AH16" s="3">
        <v>133731454</v>
      </c>
      <c r="AI16" s="3">
        <f t="shared" si="4"/>
        <v>133731.454</v>
      </c>
      <c r="AK16" s="3">
        <v>181446657</v>
      </c>
      <c r="AL16" s="3">
        <f>AK16/1000</f>
        <v>181446.657</v>
      </c>
      <c r="AM16" s="3">
        <v>157222190</v>
      </c>
      <c r="AN16" s="3">
        <f>AM16/1000</f>
        <v>157222.19</v>
      </c>
      <c r="AP16" s="3">
        <v>173449465</v>
      </c>
      <c r="AQ16" s="3">
        <f>AP16/1000</f>
        <v>173449.465</v>
      </c>
      <c r="AS16" s="221">
        <v>187252093.50000003</v>
      </c>
      <c r="AT16" s="3">
        <f>AS16/1000</f>
        <v>187252.09350000002</v>
      </c>
      <c r="AV16" s="3">
        <v>187648358</v>
      </c>
      <c r="AW16" s="3">
        <f>AV16/1000</f>
        <v>187648.358</v>
      </c>
      <c r="AY16" s="3">
        <v>229128472.35000008</v>
      </c>
      <c r="AZ16" s="3">
        <f>AY16/1000</f>
        <v>229128.47235000008</v>
      </c>
      <c r="BA16" s="3">
        <v>232929233.52000004</v>
      </c>
      <c r="BB16" s="3">
        <f>BA16/1000</f>
        <v>232929.23352000004</v>
      </c>
      <c r="BC16" s="3">
        <v>233605701.25999996</v>
      </c>
      <c r="BD16" s="3">
        <f>BC16/1000</f>
        <v>233605.70125999997</v>
      </c>
    </row>
    <row r="17" spans="2:45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44"/>
      <c r="M17" s="2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S17" s="221"/>
    </row>
    <row r="18" spans="1:56" ht="12.75">
      <c r="A18" s="1" t="s">
        <v>11</v>
      </c>
      <c r="B18" s="14">
        <v>45441</v>
      </c>
      <c r="C18" s="14">
        <v>48226</v>
      </c>
      <c r="D18" s="14">
        <v>47127</v>
      </c>
      <c r="E18" s="14">
        <v>49553</v>
      </c>
      <c r="F18" s="14">
        <v>51130</v>
      </c>
      <c r="G18" s="14">
        <v>63231.484</v>
      </c>
      <c r="H18" s="14">
        <v>57740.70756</v>
      </c>
      <c r="I18" s="14">
        <v>65580.79006999999</v>
      </c>
      <c r="J18" s="14">
        <v>91353.42777000001</v>
      </c>
      <c r="K18" s="14">
        <v>66786.27179</v>
      </c>
      <c r="L18" s="244">
        <f>(K18-J18)*100/J18</f>
        <v>-26.89242930418834</v>
      </c>
      <c r="M18" s="244">
        <f>(K18-AC18)*100/AC18</f>
        <v>62.26013554421769</v>
      </c>
      <c r="N18" s="14">
        <v>13828</v>
      </c>
      <c r="O18" s="14">
        <v>14869</v>
      </c>
      <c r="P18" s="14">
        <v>16543</v>
      </c>
      <c r="Q18" s="14">
        <v>18599</v>
      </c>
      <c r="R18" s="14">
        <v>21267</v>
      </c>
      <c r="S18" s="14">
        <v>22287</v>
      </c>
      <c r="T18" s="14">
        <v>24090</v>
      </c>
      <c r="U18" s="14">
        <v>25206</v>
      </c>
      <c r="V18" s="14">
        <f>26929578/1000</f>
        <v>26929.578</v>
      </c>
      <c r="W18" s="14">
        <v>28267</v>
      </c>
      <c r="X18" s="14">
        <v>31246</v>
      </c>
      <c r="Y18" s="14">
        <v>32641</v>
      </c>
      <c r="Z18" s="14">
        <v>34303</v>
      </c>
      <c r="AA18" s="14">
        <v>36615</v>
      </c>
      <c r="AB18" s="14">
        <v>40663</v>
      </c>
      <c r="AC18" s="14">
        <v>41160</v>
      </c>
      <c r="AD18" s="14"/>
      <c r="AE18" s="3">
        <v>45440709</v>
      </c>
      <c r="AF18" s="3">
        <f t="shared" si="3"/>
        <v>45440.709</v>
      </c>
      <c r="AH18" s="3">
        <v>48226020</v>
      </c>
      <c r="AI18" s="3">
        <f t="shared" si="4"/>
        <v>48226.02</v>
      </c>
      <c r="AK18" s="3">
        <v>47127427</v>
      </c>
      <c r="AL18" s="3">
        <f>AK18/1000</f>
        <v>47127.427</v>
      </c>
      <c r="AM18" s="3">
        <v>49553281</v>
      </c>
      <c r="AN18" s="3">
        <f>AM18/1000</f>
        <v>49553.281</v>
      </c>
      <c r="AP18" s="3">
        <v>51130171</v>
      </c>
      <c r="AQ18" s="3">
        <f>AP18/1000</f>
        <v>51130.171</v>
      </c>
      <c r="AS18" s="221">
        <v>63231484</v>
      </c>
      <c r="AT18" s="3">
        <f>AS18/1000</f>
        <v>63231.484</v>
      </c>
      <c r="AV18" s="3">
        <v>57740707.56</v>
      </c>
      <c r="AW18" s="3">
        <f>AV18/1000</f>
        <v>57740.70756</v>
      </c>
      <c r="AY18" s="3">
        <v>65580790.069999985</v>
      </c>
      <c r="AZ18" s="3">
        <f>AY18/1000</f>
        <v>65580.79006999999</v>
      </c>
      <c r="BA18" s="3">
        <v>91353427.77000001</v>
      </c>
      <c r="BB18" s="3">
        <f>BA18/1000</f>
        <v>91353.42777000001</v>
      </c>
      <c r="BC18" s="3">
        <v>66786271.79</v>
      </c>
      <c r="BD18" s="3">
        <f>BC18/1000</f>
        <v>66786.27179</v>
      </c>
    </row>
    <row r="19" spans="1:56" ht="12.75">
      <c r="A19" s="1" t="s">
        <v>12</v>
      </c>
      <c r="B19" s="14">
        <v>235922</v>
      </c>
      <c r="C19" s="14">
        <v>225348</v>
      </c>
      <c r="D19" s="14">
        <v>238511</v>
      </c>
      <c r="E19" s="14">
        <v>262253</v>
      </c>
      <c r="F19" s="14">
        <v>285174</v>
      </c>
      <c r="G19" s="14">
        <v>300409.355</v>
      </c>
      <c r="H19" s="14">
        <v>337690.4040900001</v>
      </c>
      <c r="I19" s="14">
        <v>393326.8650900001</v>
      </c>
      <c r="J19" s="14">
        <v>408638.60117</v>
      </c>
      <c r="K19" s="14">
        <v>370378.50623</v>
      </c>
      <c r="L19" s="244">
        <f>(K19-J19)*100/J19</f>
        <v>-9.3628195746694</v>
      </c>
      <c r="M19" s="244">
        <f>(K19-AC19)*100/AC19</f>
        <v>66.37476303696484</v>
      </c>
      <c r="N19" s="14">
        <v>64832</v>
      </c>
      <c r="O19" s="14">
        <v>68750</v>
      </c>
      <c r="P19" s="14">
        <v>76226</v>
      </c>
      <c r="Q19" s="14">
        <v>86421</v>
      </c>
      <c r="R19" s="14">
        <v>96860</v>
      </c>
      <c r="S19" s="14">
        <v>107577</v>
      </c>
      <c r="T19" s="14">
        <v>125662</v>
      </c>
      <c r="U19" s="14">
        <v>135579</v>
      </c>
      <c r="V19" s="14">
        <f>136266614/1000</f>
        <v>136266.614</v>
      </c>
      <c r="W19" s="14">
        <v>145259</v>
      </c>
      <c r="X19" s="14">
        <v>163157</v>
      </c>
      <c r="Y19" s="14">
        <v>165152</v>
      </c>
      <c r="Z19" s="14">
        <v>182880</v>
      </c>
      <c r="AA19" s="14">
        <v>192782</v>
      </c>
      <c r="AB19" s="14">
        <v>203761</v>
      </c>
      <c r="AC19" s="14">
        <v>222617</v>
      </c>
      <c r="AD19" s="14"/>
      <c r="AE19" s="3">
        <v>235921972</v>
      </c>
      <c r="AF19" s="3">
        <f t="shared" si="3"/>
        <v>235921.972</v>
      </c>
      <c r="AH19" s="3">
        <v>225347743</v>
      </c>
      <c r="AI19" s="3">
        <f t="shared" si="4"/>
        <v>225347.743</v>
      </c>
      <c r="AK19" s="3">
        <v>238511102</v>
      </c>
      <c r="AL19" s="3">
        <f>AK19/1000</f>
        <v>238511.102</v>
      </c>
      <c r="AM19" s="3">
        <v>262252899</v>
      </c>
      <c r="AN19" s="3">
        <f>AM19/1000</f>
        <v>262252.899</v>
      </c>
      <c r="AP19" s="3">
        <v>285174198</v>
      </c>
      <c r="AQ19" s="3">
        <f>AP19/1000</f>
        <v>285174.198</v>
      </c>
      <c r="AS19" s="221">
        <v>300409355</v>
      </c>
      <c r="AT19" s="3">
        <f>AS19/1000</f>
        <v>300409.355</v>
      </c>
      <c r="AV19" s="3">
        <v>337690404.0900001</v>
      </c>
      <c r="AW19" s="3">
        <f>AV19/1000</f>
        <v>337690.4040900001</v>
      </c>
      <c r="AY19" s="3">
        <v>393326865.0900001</v>
      </c>
      <c r="AZ19" s="3">
        <f>AY19/1000</f>
        <v>393326.8650900001</v>
      </c>
      <c r="BA19" s="3">
        <v>408638601.16999996</v>
      </c>
      <c r="BB19" s="3">
        <f>BA19/1000</f>
        <v>408638.60117</v>
      </c>
      <c r="BC19" s="3">
        <v>370378506.23</v>
      </c>
      <c r="BD19" s="3">
        <f>BC19/1000</f>
        <v>370378.50623</v>
      </c>
    </row>
    <row r="20" spans="1:56" ht="12.75">
      <c r="A20" s="1" t="s">
        <v>13</v>
      </c>
      <c r="B20" s="14">
        <v>129914</v>
      </c>
      <c r="C20" s="14">
        <v>131766</v>
      </c>
      <c r="D20" s="14">
        <v>138489</v>
      </c>
      <c r="E20" s="14">
        <v>138988</v>
      </c>
      <c r="F20" s="14">
        <v>150554</v>
      </c>
      <c r="G20" s="14">
        <v>184066.089</v>
      </c>
      <c r="H20" s="14">
        <v>211822.77969999996</v>
      </c>
      <c r="I20" s="14">
        <v>209996.75358</v>
      </c>
      <c r="J20" s="14">
        <v>212887.25371</v>
      </c>
      <c r="K20" s="14">
        <v>214487.40289999996</v>
      </c>
      <c r="L20" s="244">
        <f>(K20-J20)*100/J20</f>
        <v>0.7516416141004515</v>
      </c>
      <c r="M20" s="244">
        <f>(K20-AC20)*100/AC20</f>
        <v>80.35518427580404</v>
      </c>
      <c r="N20" s="14">
        <v>38536</v>
      </c>
      <c r="O20" s="14">
        <v>41722</v>
      </c>
      <c r="P20" s="14">
        <v>44919</v>
      </c>
      <c r="Q20" s="14">
        <v>49123</v>
      </c>
      <c r="R20" s="14">
        <v>54923</v>
      </c>
      <c r="S20" s="14">
        <v>69490</v>
      </c>
      <c r="T20" s="14">
        <v>78817</v>
      </c>
      <c r="U20" s="14">
        <v>75114</v>
      </c>
      <c r="V20" s="14">
        <f>72614769/1000</f>
        <v>72614.769</v>
      </c>
      <c r="W20" s="14">
        <v>80029</v>
      </c>
      <c r="X20" s="14">
        <v>91219</v>
      </c>
      <c r="Y20" s="14">
        <v>97374</v>
      </c>
      <c r="Z20" s="14">
        <v>99974</v>
      </c>
      <c r="AA20" s="14">
        <v>104385</v>
      </c>
      <c r="AB20" s="14">
        <v>122282</v>
      </c>
      <c r="AC20" s="14">
        <v>118925</v>
      </c>
      <c r="AD20" s="14"/>
      <c r="AE20" s="3">
        <v>129913700</v>
      </c>
      <c r="AF20" s="3">
        <f t="shared" si="3"/>
        <v>129913.7</v>
      </c>
      <c r="AH20" s="3">
        <v>131765686</v>
      </c>
      <c r="AI20" s="3">
        <f t="shared" si="4"/>
        <v>131765.686</v>
      </c>
      <c r="AK20" s="3">
        <v>138489272</v>
      </c>
      <c r="AL20" s="3">
        <f>AK20/1000</f>
        <v>138489.272</v>
      </c>
      <c r="AM20" s="3">
        <v>138988326</v>
      </c>
      <c r="AN20" s="3">
        <f>AM20/1000</f>
        <v>138988.326</v>
      </c>
      <c r="AP20" s="3">
        <v>150553820</v>
      </c>
      <c r="AQ20" s="3">
        <f>AP20/1000</f>
        <v>150553.82</v>
      </c>
      <c r="AS20" s="222">
        <v>184066089</v>
      </c>
      <c r="AT20" s="3">
        <f>AS20/1000</f>
        <v>184066.089</v>
      </c>
      <c r="AV20" s="3">
        <v>211822779.69999996</v>
      </c>
      <c r="AW20" s="3">
        <f>AV20/1000</f>
        <v>211822.77969999996</v>
      </c>
      <c r="AY20" s="3">
        <v>209996753.57999998</v>
      </c>
      <c r="AZ20" s="3">
        <f>AY20/1000</f>
        <v>209996.75358</v>
      </c>
      <c r="BA20" s="3">
        <v>212887253.70999998</v>
      </c>
      <c r="BB20" s="3">
        <f>BA20/1000</f>
        <v>212887.25371</v>
      </c>
      <c r="BC20" s="3">
        <v>214487402.89999995</v>
      </c>
      <c r="BD20" s="3">
        <f>BC20/1000</f>
        <v>214487.40289999996</v>
      </c>
    </row>
    <row r="21" spans="1:56" ht="12.75">
      <c r="A21" s="1" t="s">
        <v>14</v>
      </c>
      <c r="B21" s="14">
        <v>193026</v>
      </c>
      <c r="C21" s="14">
        <v>190735</v>
      </c>
      <c r="D21" s="14">
        <v>224631</v>
      </c>
      <c r="E21" s="14">
        <v>235249</v>
      </c>
      <c r="F21" s="14">
        <v>268895</v>
      </c>
      <c r="G21" s="14">
        <v>293864.894</v>
      </c>
      <c r="H21" s="14">
        <v>314359.82516</v>
      </c>
      <c r="I21" s="14">
        <v>359922.33060999995</v>
      </c>
      <c r="J21" s="14">
        <v>344098.89251</v>
      </c>
      <c r="K21" s="14">
        <v>360033.98958</v>
      </c>
      <c r="L21" s="244">
        <f>(K21-J21)*100/J21</f>
        <v>4.63096435846184</v>
      </c>
      <c r="M21" s="244">
        <f>(K21-AC21)*100/AC21</f>
        <v>106.0009209546097</v>
      </c>
      <c r="N21" s="14">
        <v>57780</v>
      </c>
      <c r="O21" s="14">
        <v>61950</v>
      </c>
      <c r="P21" s="14">
        <v>73169</v>
      </c>
      <c r="Q21" s="14">
        <v>79400</v>
      </c>
      <c r="R21" s="14">
        <v>90388</v>
      </c>
      <c r="S21" s="14">
        <v>98807</v>
      </c>
      <c r="T21" s="14">
        <v>111774</v>
      </c>
      <c r="U21" s="14">
        <v>129491</v>
      </c>
      <c r="V21" s="14">
        <f>116368157/1000</f>
        <v>116368.157</v>
      </c>
      <c r="W21" s="14">
        <v>127331</v>
      </c>
      <c r="X21" s="14">
        <v>144735</v>
      </c>
      <c r="Y21" s="14">
        <v>139496</v>
      </c>
      <c r="Z21" s="14">
        <v>151268</v>
      </c>
      <c r="AA21" s="14">
        <v>154376</v>
      </c>
      <c r="AB21" s="14">
        <v>162922</v>
      </c>
      <c r="AC21" s="14">
        <v>174773</v>
      </c>
      <c r="AD21" s="14"/>
      <c r="AE21" s="3">
        <v>193026278</v>
      </c>
      <c r="AF21" s="3">
        <f t="shared" si="3"/>
        <v>193026.278</v>
      </c>
      <c r="AH21" s="3">
        <v>190735199</v>
      </c>
      <c r="AI21" s="3">
        <f t="shared" si="4"/>
        <v>190735.199</v>
      </c>
      <c r="AK21" s="3">
        <v>224631049</v>
      </c>
      <c r="AL21" s="3">
        <f>AK21/1000</f>
        <v>224631.049</v>
      </c>
      <c r="AM21" s="3">
        <v>235248920</v>
      </c>
      <c r="AN21" s="3">
        <f>AM21/1000</f>
        <v>235248.92</v>
      </c>
      <c r="AP21" s="3">
        <v>268895283</v>
      </c>
      <c r="AQ21" s="3">
        <f>AP21/1000</f>
        <v>268895.283</v>
      </c>
      <c r="AS21" s="222">
        <v>293864894</v>
      </c>
      <c r="AT21" s="3">
        <f>AS21/1000</f>
        <v>293864.894</v>
      </c>
      <c r="AV21" s="3">
        <v>314359825.16</v>
      </c>
      <c r="AW21" s="3">
        <f>AV21/1000</f>
        <v>314359.82516</v>
      </c>
      <c r="AY21" s="3">
        <v>359922330.60999995</v>
      </c>
      <c r="AZ21" s="3">
        <f>AY21/1000</f>
        <v>359922.33060999995</v>
      </c>
      <c r="BA21" s="3">
        <v>344098892.51</v>
      </c>
      <c r="BB21" s="3">
        <f>BA21/1000</f>
        <v>344098.89251</v>
      </c>
      <c r="BC21" s="3">
        <v>360033989.58</v>
      </c>
      <c r="BD21" s="3">
        <f>BC21/1000</f>
        <v>360033.98958</v>
      </c>
    </row>
    <row r="22" spans="1:56" ht="12.75">
      <c r="A22" s="1" t="s">
        <v>15</v>
      </c>
      <c r="B22" s="14">
        <v>43245</v>
      </c>
      <c r="C22" s="14">
        <v>44401</v>
      </c>
      <c r="D22" s="14">
        <v>51112</v>
      </c>
      <c r="E22" s="14">
        <v>51085</v>
      </c>
      <c r="F22" s="14">
        <v>48913</v>
      </c>
      <c r="G22" s="14">
        <v>52471.853</v>
      </c>
      <c r="H22" s="14">
        <v>56137.886289999995</v>
      </c>
      <c r="I22" s="14">
        <v>68548.46052000002</v>
      </c>
      <c r="J22" s="14">
        <v>76310.53065999999</v>
      </c>
      <c r="K22" s="14">
        <v>78185.99066</v>
      </c>
      <c r="L22" s="244">
        <f>(K22-J22)*100/J22</f>
        <v>2.4576686648348445</v>
      </c>
      <c r="M22" s="244">
        <f>(K22-AC22)*100/AC22</f>
        <v>96.16134944051382</v>
      </c>
      <c r="N22" s="14">
        <v>18775</v>
      </c>
      <c r="O22" s="14">
        <v>19142</v>
      </c>
      <c r="P22" s="14">
        <v>19905</v>
      </c>
      <c r="Q22" s="14">
        <v>21627</v>
      </c>
      <c r="R22" s="14">
        <v>23616</v>
      </c>
      <c r="S22" s="14">
        <v>25813</v>
      </c>
      <c r="T22" s="14">
        <v>27149</v>
      </c>
      <c r="U22" s="14">
        <v>27058</v>
      </c>
      <c r="V22" s="14">
        <f>27640157/1000</f>
        <v>27640.157</v>
      </c>
      <c r="W22" s="14">
        <v>29909</v>
      </c>
      <c r="X22" s="14">
        <v>32010</v>
      </c>
      <c r="Y22" s="14">
        <v>33622</v>
      </c>
      <c r="Z22" s="14">
        <v>39220</v>
      </c>
      <c r="AA22" s="14">
        <v>38249</v>
      </c>
      <c r="AB22" s="14">
        <v>37334</v>
      </c>
      <c r="AC22" s="14">
        <v>39858</v>
      </c>
      <c r="AD22" s="14"/>
      <c r="AE22" s="3">
        <v>43244842</v>
      </c>
      <c r="AF22" s="3">
        <f t="shared" si="3"/>
        <v>43244.842</v>
      </c>
      <c r="AH22" s="3">
        <v>44401024</v>
      </c>
      <c r="AI22" s="3">
        <f t="shared" si="4"/>
        <v>44401.024</v>
      </c>
      <c r="AK22" s="3">
        <v>51112170</v>
      </c>
      <c r="AL22" s="3">
        <f>AK22/1000</f>
        <v>51112.17</v>
      </c>
      <c r="AM22" s="3">
        <v>51085251</v>
      </c>
      <c r="AN22" s="3">
        <f>AM22/1000</f>
        <v>51085.251</v>
      </c>
      <c r="AP22" s="3">
        <v>48912847</v>
      </c>
      <c r="AQ22" s="3">
        <f>AP22/1000</f>
        <v>48912.847</v>
      </c>
      <c r="AS22" s="222">
        <v>52471853</v>
      </c>
      <c r="AT22" s="3">
        <f>AS22/1000</f>
        <v>52471.853</v>
      </c>
      <c r="AV22" s="3">
        <v>56137886.28999999</v>
      </c>
      <c r="AW22" s="3">
        <f>AV22/1000</f>
        <v>56137.886289999995</v>
      </c>
      <c r="AY22" s="3">
        <v>68548460.52000003</v>
      </c>
      <c r="AZ22" s="3">
        <f>AY22/1000</f>
        <v>68548.46052000002</v>
      </c>
      <c r="BA22" s="3">
        <v>76310530.66</v>
      </c>
      <c r="BB22" s="3">
        <f>BA22/1000</f>
        <v>76310.53065999999</v>
      </c>
      <c r="BC22" s="3">
        <v>78185990.66</v>
      </c>
      <c r="BD22" s="3">
        <f>BC22/1000</f>
        <v>78185.99066</v>
      </c>
    </row>
    <row r="23" spans="2:45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44"/>
      <c r="M23" s="24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S23" s="222"/>
    </row>
    <row r="24" spans="1:56" ht="12.75">
      <c r="A24" s="1" t="s">
        <v>16</v>
      </c>
      <c r="B24" s="14">
        <v>338378</v>
      </c>
      <c r="C24" s="14">
        <v>359465</v>
      </c>
      <c r="D24" s="14">
        <v>350497</v>
      </c>
      <c r="E24" s="14">
        <v>377518</v>
      </c>
      <c r="F24" s="14">
        <v>396166</v>
      </c>
      <c r="G24" s="14">
        <v>440368.366</v>
      </c>
      <c r="H24" s="14">
        <v>468038.61020999996</v>
      </c>
      <c r="I24" s="14">
        <v>550535.60615</v>
      </c>
      <c r="J24" s="14">
        <v>583297.13118</v>
      </c>
      <c r="K24" s="14">
        <v>591177.7514599999</v>
      </c>
      <c r="L24" s="244">
        <f>(K24-J24)*100/J24</f>
        <v>1.351047323695482</v>
      </c>
      <c r="M24" s="244">
        <f>(K24-AC24)*100/AC24</f>
        <v>103.34743087406223</v>
      </c>
      <c r="N24" s="14">
        <v>86150</v>
      </c>
      <c r="O24" s="14">
        <v>91678</v>
      </c>
      <c r="P24" s="14">
        <v>97977</v>
      </c>
      <c r="Q24" s="14">
        <v>112541</v>
      </c>
      <c r="R24" s="14">
        <v>125361</v>
      </c>
      <c r="S24" s="14">
        <v>148929</v>
      </c>
      <c r="T24" s="14">
        <v>161159</v>
      </c>
      <c r="U24" s="14">
        <v>165576</v>
      </c>
      <c r="V24" s="14">
        <f>173442674/1000</f>
        <v>173442.674</v>
      </c>
      <c r="W24" s="14">
        <v>182278</v>
      </c>
      <c r="X24" s="14">
        <v>220537</v>
      </c>
      <c r="Y24" s="14">
        <v>218587</v>
      </c>
      <c r="Z24" s="208">
        <v>219254</v>
      </c>
      <c r="AA24" s="36">
        <v>240691</v>
      </c>
      <c r="AB24" s="14">
        <v>252220</v>
      </c>
      <c r="AC24" s="14">
        <v>290723</v>
      </c>
      <c r="AD24" s="14"/>
      <c r="AE24" s="3">
        <v>338377780</v>
      </c>
      <c r="AF24" s="3">
        <f t="shared" si="3"/>
        <v>338377.78</v>
      </c>
      <c r="AH24" s="3">
        <v>359464606</v>
      </c>
      <c r="AI24" s="3">
        <f t="shared" si="4"/>
        <v>359464.606</v>
      </c>
      <c r="AK24" s="3">
        <v>350496739</v>
      </c>
      <c r="AL24" s="3">
        <f>AK24/1000</f>
        <v>350496.739</v>
      </c>
      <c r="AM24" s="3">
        <v>377518408</v>
      </c>
      <c r="AN24" s="3">
        <f>AM24/1000</f>
        <v>377518.408</v>
      </c>
      <c r="AP24" s="3">
        <v>396166408</v>
      </c>
      <c r="AQ24" s="3">
        <f>AP24/1000</f>
        <v>396166.408</v>
      </c>
      <c r="AS24" s="222">
        <v>440368366</v>
      </c>
      <c r="AT24" s="3">
        <f>AS24/1000</f>
        <v>440368.366</v>
      </c>
      <c r="AV24" s="3">
        <v>468038610.21</v>
      </c>
      <c r="AW24" s="3">
        <f>AV24/1000</f>
        <v>468038.61020999996</v>
      </c>
      <c r="AY24" s="3">
        <v>550535606.15</v>
      </c>
      <c r="AZ24" s="3">
        <f>AY24/1000</f>
        <v>550535.60615</v>
      </c>
      <c r="BA24" s="3">
        <v>583297131.1800001</v>
      </c>
      <c r="BB24" s="3">
        <f>BA24/1000</f>
        <v>583297.13118</v>
      </c>
      <c r="BC24" s="3">
        <v>591177751.4599999</v>
      </c>
      <c r="BD24" s="3">
        <f>BC24/1000</f>
        <v>591177.7514599999</v>
      </c>
    </row>
    <row r="25" spans="1:56" ht="12.75">
      <c r="A25" s="1" t="s">
        <v>17</v>
      </c>
      <c r="B25" s="14">
        <v>40972</v>
      </c>
      <c r="C25" s="14">
        <v>41720</v>
      </c>
      <c r="D25" s="14">
        <v>44336</v>
      </c>
      <c r="E25" s="14">
        <v>46409</v>
      </c>
      <c r="F25" s="14">
        <v>48299</v>
      </c>
      <c r="G25" s="14">
        <v>49938.799</v>
      </c>
      <c r="H25" s="14">
        <v>53821.35547</v>
      </c>
      <c r="I25" s="14">
        <v>59214.69595</v>
      </c>
      <c r="J25" s="14">
        <v>67436.53637000002</v>
      </c>
      <c r="K25" s="14">
        <v>60498.963330000006</v>
      </c>
      <c r="L25" s="244">
        <f>(K25-J25)*100/J25</f>
        <v>-10.28755836737528</v>
      </c>
      <c r="M25" s="244">
        <f>(K25-AC25)*100/AC25</f>
        <v>57.44278178837247</v>
      </c>
      <c r="N25" s="14">
        <v>16848</v>
      </c>
      <c r="O25" s="14">
        <v>21350</v>
      </c>
      <c r="P25" s="14">
        <v>22084</v>
      </c>
      <c r="Q25" s="14">
        <v>21373</v>
      </c>
      <c r="R25" s="14">
        <v>23169</v>
      </c>
      <c r="S25" s="14">
        <v>25651</v>
      </c>
      <c r="T25" s="14">
        <v>34256</v>
      </c>
      <c r="U25" s="14">
        <v>28253</v>
      </c>
      <c r="V25" s="14">
        <f>28510910/1000</f>
        <v>28510.91</v>
      </c>
      <c r="W25" s="14">
        <v>30212</v>
      </c>
      <c r="X25" s="14">
        <v>31674</v>
      </c>
      <c r="Y25" s="14">
        <v>32945</v>
      </c>
      <c r="Z25" s="208">
        <v>34181</v>
      </c>
      <c r="AA25" s="36">
        <v>35463</v>
      </c>
      <c r="AB25" s="14">
        <v>37240</v>
      </c>
      <c r="AC25" s="14">
        <v>38426</v>
      </c>
      <c r="AD25" s="14"/>
      <c r="AE25" s="3">
        <v>40972486</v>
      </c>
      <c r="AF25" s="3">
        <f t="shared" si="3"/>
        <v>40972.486</v>
      </c>
      <c r="AH25" s="3">
        <v>41719661</v>
      </c>
      <c r="AI25" s="3">
        <f t="shared" si="4"/>
        <v>41719.661</v>
      </c>
      <c r="AK25" s="3">
        <v>44336148</v>
      </c>
      <c r="AL25" s="3">
        <f>AK25/1000</f>
        <v>44336.148</v>
      </c>
      <c r="AM25" s="3">
        <v>46409099</v>
      </c>
      <c r="AN25" s="3">
        <f>AM25/1000</f>
        <v>46409.099</v>
      </c>
      <c r="AP25" s="3">
        <v>48299481</v>
      </c>
      <c r="AQ25" s="3">
        <f>AP25/1000</f>
        <v>48299.481</v>
      </c>
      <c r="AS25" s="221">
        <v>49938799</v>
      </c>
      <c r="AT25" s="3">
        <f>AS25/1000</f>
        <v>49938.799</v>
      </c>
      <c r="AV25" s="3">
        <v>53821355.47</v>
      </c>
      <c r="AW25" s="3">
        <f>AV25/1000</f>
        <v>53821.35547</v>
      </c>
      <c r="AY25" s="3">
        <v>59214695.95</v>
      </c>
      <c r="AZ25" s="3">
        <f>AY25/1000</f>
        <v>59214.69595</v>
      </c>
      <c r="BA25" s="3">
        <v>67436536.37000002</v>
      </c>
      <c r="BB25" s="3">
        <f>BA25/1000</f>
        <v>67436.53637000002</v>
      </c>
      <c r="BC25" s="3">
        <v>60498963.330000006</v>
      </c>
      <c r="BD25" s="3">
        <f>BC25/1000</f>
        <v>60498.963330000006</v>
      </c>
    </row>
    <row r="26" spans="1:56" ht="12.75">
      <c r="A26" s="1" t="s">
        <v>18</v>
      </c>
      <c r="B26" s="14">
        <v>299817</v>
      </c>
      <c r="C26" s="14">
        <v>319097</v>
      </c>
      <c r="D26" s="14">
        <v>342783</v>
      </c>
      <c r="E26" s="14">
        <v>348590</v>
      </c>
      <c r="F26" s="14">
        <v>387571</v>
      </c>
      <c r="G26" s="14">
        <v>456305.252</v>
      </c>
      <c r="H26" s="14">
        <v>478472.66624</v>
      </c>
      <c r="I26" s="14">
        <v>563174.3631900002</v>
      </c>
      <c r="J26" s="14">
        <v>591071.37677</v>
      </c>
      <c r="K26" s="14">
        <v>577613.4156800001</v>
      </c>
      <c r="L26" s="244">
        <f>(K26-J26)*100/J26</f>
        <v>-2.2768757918109603</v>
      </c>
      <c r="M26" s="244">
        <f>(K26-AC26)*100/AC26</f>
        <v>105.09727893079197</v>
      </c>
      <c r="N26" s="14">
        <v>90384</v>
      </c>
      <c r="O26" s="14">
        <v>98640</v>
      </c>
      <c r="P26" s="14">
        <v>108161</v>
      </c>
      <c r="Q26" s="14">
        <v>117074</v>
      </c>
      <c r="R26" s="14">
        <v>129310</v>
      </c>
      <c r="S26" s="14">
        <v>146332</v>
      </c>
      <c r="T26" s="14">
        <v>163371</v>
      </c>
      <c r="U26" s="14">
        <v>171092</v>
      </c>
      <c r="V26" s="14">
        <f>190435504/1000</f>
        <v>190435.504</v>
      </c>
      <c r="W26" s="14">
        <v>206446</v>
      </c>
      <c r="X26" s="14">
        <v>218888</v>
      </c>
      <c r="Y26" s="14">
        <v>230455</v>
      </c>
      <c r="Z26" s="208">
        <v>245819</v>
      </c>
      <c r="AA26" s="36">
        <v>255607</v>
      </c>
      <c r="AB26" s="14">
        <v>264957</v>
      </c>
      <c r="AC26" s="14">
        <v>281629</v>
      </c>
      <c r="AD26" s="14"/>
      <c r="AE26" s="3">
        <v>299816598</v>
      </c>
      <c r="AF26" s="3">
        <f t="shared" si="3"/>
        <v>299816.598</v>
      </c>
      <c r="AH26" s="3">
        <v>319096855</v>
      </c>
      <c r="AI26" s="3">
        <f t="shared" si="4"/>
        <v>319096.855</v>
      </c>
      <c r="AK26" s="3">
        <v>342783293</v>
      </c>
      <c r="AL26" s="3">
        <f>AK26/1000</f>
        <v>342783.293</v>
      </c>
      <c r="AM26" s="3">
        <v>348590314</v>
      </c>
      <c r="AN26" s="3">
        <f>AM26/1000</f>
        <v>348590.314</v>
      </c>
      <c r="AP26" s="3">
        <v>387571428</v>
      </c>
      <c r="AQ26" s="3">
        <f>AP26/1000</f>
        <v>387571.428</v>
      </c>
      <c r="AS26" s="221">
        <v>456305252</v>
      </c>
      <c r="AT26" s="3">
        <f>AS26/1000</f>
        <v>456305.252</v>
      </c>
      <c r="AV26" s="3">
        <v>478472666.24</v>
      </c>
      <c r="AW26" s="3">
        <f>AV26/1000</f>
        <v>478472.66624</v>
      </c>
      <c r="AY26" s="3">
        <v>563174363.1900002</v>
      </c>
      <c r="AZ26" s="3">
        <f>AY26/1000</f>
        <v>563174.3631900002</v>
      </c>
      <c r="BA26" s="3">
        <v>591071376.77</v>
      </c>
      <c r="BB26" s="3">
        <f>BA26/1000</f>
        <v>591071.37677</v>
      </c>
      <c r="BC26" s="3">
        <v>577613415.6800001</v>
      </c>
      <c r="BD26" s="3">
        <f>BC26/1000</f>
        <v>577613.4156800001</v>
      </c>
    </row>
    <row r="27" spans="1:56" ht="12.75">
      <c r="A27" s="1" t="s">
        <v>19</v>
      </c>
      <c r="B27" s="14">
        <v>434396</v>
      </c>
      <c r="C27" s="14">
        <v>483102</v>
      </c>
      <c r="D27" s="14">
        <v>512538</v>
      </c>
      <c r="E27" s="14">
        <v>539622</v>
      </c>
      <c r="F27" s="14">
        <v>613508</v>
      </c>
      <c r="G27" s="14">
        <v>674917.568</v>
      </c>
      <c r="H27" s="14">
        <v>708544.79595</v>
      </c>
      <c r="I27" s="14">
        <v>771765.47826</v>
      </c>
      <c r="J27" s="14">
        <v>802979.2680299998</v>
      </c>
      <c r="K27" s="14">
        <v>814535.0386599998</v>
      </c>
      <c r="L27" s="244">
        <f>(K27-J27)*100/J27</f>
        <v>1.4391119534568497</v>
      </c>
      <c r="M27" s="244">
        <f>(K27-AC27)*100/AC27</f>
        <v>112.28490005446973</v>
      </c>
      <c r="N27" s="14">
        <v>104868</v>
      </c>
      <c r="O27" s="14">
        <v>122907</v>
      </c>
      <c r="P27" s="14">
        <v>140188</v>
      </c>
      <c r="Q27" s="14">
        <v>156347</v>
      </c>
      <c r="R27" s="14">
        <v>181399</v>
      </c>
      <c r="S27" s="14">
        <v>206180</v>
      </c>
      <c r="T27" s="14">
        <v>236698</v>
      </c>
      <c r="U27" s="14">
        <v>240813</v>
      </c>
      <c r="V27" s="14">
        <f>252892130/1000</f>
        <v>252892.13</v>
      </c>
      <c r="W27" s="14">
        <v>275142</v>
      </c>
      <c r="X27" s="14">
        <v>296185</v>
      </c>
      <c r="Y27" s="14">
        <v>324292</v>
      </c>
      <c r="Z27" s="208">
        <v>330228</v>
      </c>
      <c r="AA27" s="36">
        <v>328174</v>
      </c>
      <c r="AB27" s="14">
        <v>351613</v>
      </c>
      <c r="AC27" s="14">
        <v>383699</v>
      </c>
      <c r="AD27" s="14"/>
      <c r="AE27" s="3">
        <v>434395821</v>
      </c>
      <c r="AF27" s="3">
        <f t="shared" si="3"/>
        <v>434395.821</v>
      </c>
      <c r="AH27" s="3">
        <v>483101821</v>
      </c>
      <c r="AI27" s="3">
        <f t="shared" si="4"/>
        <v>483101.821</v>
      </c>
      <c r="AK27" s="3">
        <v>512538486</v>
      </c>
      <c r="AL27" s="3">
        <f>AK27/1000</f>
        <v>512538.486</v>
      </c>
      <c r="AM27" s="3">
        <v>539622391</v>
      </c>
      <c r="AN27" s="3">
        <f>AM27/1000</f>
        <v>539622.391</v>
      </c>
      <c r="AP27" s="3">
        <v>613508175</v>
      </c>
      <c r="AQ27" s="3">
        <f>AP27/1000</f>
        <v>613508.175</v>
      </c>
      <c r="AS27" s="221">
        <v>674917568</v>
      </c>
      <c r="AT27" s="3">
        <f>AS27/1000</f>
        <v>674917.568</v>
      </c>
      <c r="AV27" s="3">
        <v>708544795.95</v>
      </c>
      <c r="AW27" s="3">
        <f>AV27/1000</f>
        <v>708544.79595</v>
      </c>
      <c r="AY27" s="3">
        <v>771765478.26</v>
      </c>
      <c r="AZ27" s="3">
        <f>AY27/1000</f>
        <v>771765.47826</v>
      </c>
      <c r="BA27" s="3">
        <v>802979268.0299999</v>
      </c>
      <c r="BB27" s="3">
        <f>BA27/1000</f>
        <v>802979.2680299998</v>
      </c>
      <c r="BC27" s="3">
        <v>814535038.6599998</v>
      </c>
      <c r="BD27" s="3">
        <f>BC27/1000</f>
        <v>814535.0386599998</v>
      </c>
    </row>
    <row r="28" spans="1:56" ht="12.75">
      <c r="A28" s="1" t="s">
        <v>20</v>
      </c>
      <c r="B28" s="14">
        <v>25456</v>
      </c>
      <c r="C28" s="14">
        <v>27932</v>
      </c>
      <c r="D28" s="14">
        <v>27945</v>
      </c>
      <c r="E28" s="14">
        <v>27525</v>
      </c>
      <c r="F28" s="14">
        <v>29174</v>
      </c>
      <c r="G28" s="14">
        <v>35978.318</v>
      </c>
      <c r="H28" s="14">
        <v>34500.41767</v>
      </c>
      <c r="I28" s="14">
        <v>32742.6565</v>
      </c>
      <c r="J28" s="14">
        <v>35046.94046</v>
      </c>
      <c r="K28" s="14">
        <v>35061.130119999994</v>
      </c>
      <c r="L28" s="244">
        <f>(K28-J28)*100/J28</f>
        <v>0.04048758554599481</v>
      </c>
      <c r="M28" s="244">
        <f>(K28-AC28)*100/AC28</f>
        <v>47.557468625057844</v>
      </c>
      <c r="N28" s="14">
        <v>8860</v>
      </c>
      <c r="O28" s="14">
        <v>9950</v>
      </c>
      <c r="P28" s="14">
        <v>10603</v>
      </c>
      <c r="Q28" s="14">
        <v>11388</v>
      </c>
      <c r="R28" s="14">
        <v>13108</v>
      </c>
      <c r="S28" s="14">
        <v>14566</v>
      </c>
      <c r="T28" s="14">
        <v>15449</v>
      </c>
      <c r="U28" s="14">
        <v>16213</v>
      </c>
      <c r="V28" s="14">
        <f>16456918/1000</f>
        <v>16456.918</v>
      </c>
      <c r="W28" s="14">
        <v>18958</v>
      </c>
      <c r="X28" s="14">
        <v>19559</v>
      </c>
      <c r="Y28" s="14">
        <v>20359</v>
      </c>
      <c r="Z28" s="208">
        <v>20672</v>
      </c>
      <c r="AA28" s="36">
        <v>23544</v>
      </c>
      <c r="AB28" s="14">
        <v>22938</v>
      </c>
      <c r="AC28" s="14">
        <v>23761</v>
      </c>
      <c r="AD28" s="14"/>
      <c r="AE28" s="3">
        <v>25456174</v>
      </c>
      <c r="AF28" s="3">
        <f t="shared" si="3"/>
        <v>25456.174</v>
      </c>
      <c r="AH28" s="3">
        <v>27932071</v>
      </c>
      <c r="AI28" s="3">
        <f t="shared" si="4"/>
        <v>27932.071</v>
      </c>
      <c r="AK28" s="3">
        <v>27945110</v>
      </c>
      <c r="AL28" s="3">
        <f>AK28/1000</f>
        <v>27945.11</v>
      </c>
      <c r="AM28" s="3">
        <v>27525186</v>
      </c>
      <c r="AN28" s="3">
        <f>AM28/1000</f>
        <v>27525.186</v>
      </c>
      <c r="AP28" s="3">
        <v>29174233</v>
      </c>
      <c r="AQ28" s="3">
        <f>AP28/1000</f>
        <v>29174.233</v>
      </c>
      <c r="AS28" s="221">
        <v>35978318</v>
      </c>
      <c r="AT28" s="3">
        <f>AS28/1000</f>
        <v>35978.318</v>
      </c>
      <c r="AV28" s="3">
        <v>34500417.67</v>
      </c>
      <c r="AW28" s="3">
        <f>AV28/1000</f>
        <v>34500.41767</v>
      </c>
      <c r="AY28" s="3">
        <v>32742656.5</v>
      </c>
      <c r="AZ28" s="3">
        <f>AY28/1000</f>
        <v>32742.6565</v>
      </c>
      <c r="BA28" s="3">
        <v>35046940.46</v>
      </c>
      <c r="BB28" s="3">
        <f>BA28/1000</f>
        <v>35046.94046</v>
      </c>
      <c r="BC28" s="3">
        <v>35061130.12</v>
      </c>
      <c r="BD28" s="3">
        <f>BC28/1000</f>
        <v>35061.130119999994</v>
      </c>
    </row>
    <row r="29" spans="2:45" ht="1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44"/>
      <c r="M29" s="24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208"/>
      <c r="AA29" s="261"/>
      <c r="AB29" s="14"/>
      <c r="AC29" s="14"/>
      <c r="AD29" s="14"/>
      <c r="AS29" s="221"/>
    </row>
    <row r="30" spans="1:56" ht="12.75">
      <c r="A30" s="1" t="s">
        <v>21</v>
      </c>
      <c r="B30" s="14">
        <v>1428000</v>
      </c>
      <c r="C30" s="14">
        <v>1576992</v>
      </c>
      <c r="D30" s="14">
        <v>1646230</v>
      </c>
      <c r="E30" s="14">
        <v>1688225</v>
      </c>
      <c r="F30" s="14">
        <v>1969194</v>
      </c>
      <c r="G30" s="14">
        <v>2064855.344</v>
      </c>
      <c r="H30" s="14">
        <v>2144973.29493</v>
      </c>
      <c r="I30" s="14">
        <v>2447011.9773600013</v>
      </c>
      <c r="J30" s="14">
        <v>2218450.7233399996</v>
      </c>
      <c r="K30" s="14">
        <v>2548548.73226</v>
      </c>
      <c r="L30" s="244">
        <f>(K30-J30)*100/J30</f>
        <v>14.879663787303768</v>
      </c>
      <c r="M30" s="244">
        <f>(K30-AC30)*100/AC30</f>
        <v>84.8207474099483</v>
      </c>
      <c r="N30" s="14">
        <v>492113</v>
      </c>
      <c r="O30" s="14">
        <v>534596</v>
      </c>
      <c r="P30" s="14">
        <v>600543</v>
      </c>
      <c r="Q30" s="14">
        <v>706791</v>
      </c>
      <c r="R30" s="14">
        <v>741761</v>
      </c>
      <c r="S30" s="14">
        <v>881319</v>
      </c>
      <c r="T30" s="14">
        <v>905501</v>
      </c>
      <c r="U30" s="14">
        <v>886390</v>
      </c>
      <c r="V30" s="14">
        <f>1114941556/1000</f>
        <v>1114941.556</v>
      </c>
      <c r="W30" s="14">
        <v>1067738</v>
      </c>
      <c r="X30" s="14">
        <v>1015499</v>
      </c>
      <c r="Y30" s="14">
        <v>1102242</v>
      </c>
      <c r="Z30" s="208">
        <v>1179936</v>
      </c>
      <c r="AA30" s="30">
        <v>1183321</v>
      </c>
      <c r="AB30" s="14">
        <v>1237973</v>
      </c>
      <c r="AC30" s="14">
        <v>1378930</v>
      </c>
      <c r="AD30" s="14"/>
      <c r="AE30" s="3">
        <v>1427999712</v>
      </c>
      <c r="AF30" s="3">
        <f t="shared" si="3"/>
        <v>1427999.712</v>
      </c>
      <c r="AH30" s="3">
        <v>1576992223</v>
      </c>
      <c r="AI30" s="3">
        <f t="shared" si="4"/>
        <v>1576992.223</v>
      </c>
      <c r="AK30" s="3">
        <v>1646230393</v>
      </c>
      <c r="AL30" s="3">
        <f>AK30/1000</f>
        <v>1646230.393</v>
      </c>
      <c r="AM30" s="3">
        <v>1688224640</v>
      </c>
      <c r="AN30" s="3">
        <f>AM30/1000</f>
        <v>1688224.64</v>
      </c>
      <c r="AP30" s="3">
        <v>1969194495</v>
      </c>
      <c r="AQ30" s="3">
        <f>AP30/1000</f>
        <v>1969194.495</v>
      </c>
      <c r="AS30" s="221">
        <v>2064855344</v>
      </c>
      <c r="AT30" s="3">
        <f>AS30/1000</f>
        <v>2064855.344</v>
      </c>
      <c r="AV30" s="3">
        <v>2144973294.9299998</v>
      </c>
      <c r="AW30" s="3">
        <f>AV30/1000</f>
        <v>2144973.29493</v>
      </c>
      <c r="AY30" s="3">
        <v>2447011977.360001</v>
      </c>
      <c r="AZ30" s="3">
        <f>AY30/1000</f>
        <v>2447011.9773600013</v>
      </c>
      <c r="BA30" s="3">
        <v>2218450723.3399997</v>
      </c>
      <c r="BB30" s="3">
        <f>BA30/1000</f>
        <v>2218450.7233399996</v>
      </c>
      <c r="BC30" s="3">
        <v>2548548732.2599998</v>
      </c>
      <c r="BD30" s="3">
        <f>BC30/1000</f>
        <v>2548548.73226</v>
      </c>
    </row>
    <row r="31" spans="1:56" ht="12.75">
      <c r="A31" s="1" t="s">
        <v>22</v>
      </c>
      <c r="B31" s="14">
        <v>1146780</v>
      </c>
      <c r="C31" s="14">
        <v>1252257</v>
      </c>
      <c r="D31" s="14">
        <v>1287429</v>
      </c>
      <c r="E31" s="14">
        <v>1339181</v>
      </c>
      <c r="F31" s="14">
        <v>1497806</v>
      </c>
      <c r="G31" s="14">
        <v>1564106.889</v>
      </c>
      <c r="H31" s="14">
        <v>1663485.82703</v>
      </c>
      <c r="I31" s="14">
        <v>1973061.2135599996</v>
      </c>
      <c r="J31" s="14">
        <v>1944031.0657799996</v>
      </c>
      <c r="K31" s="14">
        <v>1934744.9437800003</v>
      </c>
      <c r="L31" s="244">
        <f>(K31-J31)*100/J31</f>
        <v>-0.47767353945413543</v>
      </c>
      <c r="M31" s="244">
        <f>(K31-AC31)*100/AC31</f>
        <v>78.50687169338167</v>
      </c>
      <c r="N31" s="14">
        <v>395902</v>
      </c>
      <c r="O31" s="14">
        <v>432442</v>
      </c>
      <c r="P31" s="14">
        <v>468527</v>
      </c>
      <c r="Q31" s="14">
        <v>531025</v>
      </c>
      <c r="R31" s="14">
        <v>580693</v>
      </c>
      <c r="S31" s="14">
        <v>640323</v>
      </c>
      <c r="T31" s="14">
        <v>675182</v>
      </c>
      <c r="U31" s="14">
        <v>664194</v>
      </c>
      <c r="V31" s="14">
        <f>711133024/1000</f>
        <v>711133.024</v>
      </c>
      <c r="W31" s="14">
        <v>763950</v>
      </c>
      <c r="X31" s="14">
        <v>826347</v>
      </c>
      <c r="Y31" s="14">
        <v>821745</v>
      </c>
      <c r="Z31" s="208">
        <v>859239</v>
      </c>
      <c r="AA31" s="30">
        <v>945164</v>
      </c>
      <c r="AB31" s="14">
        <v>1024886</v>
      </c>
      <c r="AC31" s="14">
        <v>1083849</v>
      </c>
      <c r="AD31" s="14"/>
      <c r="AE31" s="3">
        <v>1146780049</v>
      </c>
      <c r="AF31" s="3">
        <f t="shared" si="3"/>
        <v>1146780.049</v>
      </c>
      <c r="AH31" s="3">
        <v>1252257452</v>
      </c>
      <c r="AI31" s="3">
        <f t="shared" si="4"/>
        <v>1252257.452</v>
      </c>
      <c r="AK31" s="3">
        <v>1287428817</v>
      </c>
      <c r="AL31" s="3">
        <f>AK31/1000</f>
        <v>1287428.817</v>
      </c>
      <c r="AM31" s="3">
        <v>1339181147</v>
      </c>
      <c r="AN31" s="3">
        <f>AM31/1000</f>
        <v>1339181.147</v>
      </c>
      <c r="AP31" s="3">
        <v>1497805561</v>
      </c>
      <c r="AQ31" s="3">
        <f>AP31/1000</f>
        <v>1497805.561</v>
      </c>
      <c r="AS31" s="221">
        <v>1564106889</v>
      </c>
      <c r="AT31" s="3">
        <f>AS31/1000</f>
        <v>1564106.889</v>
      </c>
      <c r="AV31" s="3">
        <v>1663485827.03</v>
      </c>
      <c r="AW31" s="3">
        <f>AV31/1000</f>
        <v>1663485.82703</v>
      </c>
      <c r="AY31" s="3">
        <v>1973061213.5599997</v>
      </c>
      <c r="AZ31" s="3">
        <f>AY31/1000</f>
        <v>1973061.2135599996</v>
      </c>
      <c r="BA31" s="3">
        <v>1944031065.7799995</v>
      </c>
      <c r="BB31" s="3">
        <f>BA31/1000</f>
        <v>1944031.0657799996</v>
      </c>
      <c r="BC31" s="3">
        <v>1934744943.7800002</v>
      </c>
      <c r="BD31" s="3">
        <f>BC31/1000</f>
        <v>1934744.9437800003</v>
      </c>
    </row>
    <row r="32" spans="1:56" ht="12.75">
      <c r="A32" s="1" t="s">
        <v>23</v>
      </c>
      <c r="B32" s="14">
        <v>67339</v>
      </c>
      <c r="C32" s="14">
        <v>66049</v>
      </c>
      <c r="D32" s="14">
        <v>78934</v>
      </c>
      <c r="E32" s="14">
        <v>78182</v>
      </c>
      <c r="F32" s="14">
        <v>72774</v>
      </c>
      <c r="G32" s="14">
        <v>82685.971</v>
      </c>
      <c r="H32" s="14">
        <v>96872.83103999999</v>
      </c>
      <c r="I32" s="14">
        <v>109666.66805999998</v>
      </c>
      <c r="J32" s="14">
        <v>102707.59561999996</v>
      </c>
      <c r="K32" s="14">
        <v>99158.52036</v>
      </c>
      <c r="L32" s="244">
        <f>(K32-J32)*100/J32</f>
        <v>-3.4555139165470514</v>
      </c>
      <c r="M32" s="244">
        <f>(K32-AC32)*100/AC32</f>
        <v>80.69560529193089</v>
      </c>
      <c r="N32" s="14">
        <v>16469</v>
      </c>
      <c r="O32" s="14">
        <v>18756</v>
      </c>
      <c r="P32" s="14">
        <v>21273</v>
      </c>
      <c r="Q32" s="14">
        <v>22874</v>
      </c>
      <c r="R32" s="14">
        <v>25813</v>
      </c>
      <c r="S32" s="14">
        <v>29112</v>
      </c>
      <c r="T32" s="14">
        <v>36028</v>
      </c>
      <c r="U32" s="14">
        <v>34293</v>
      </c>
      <c r="V32" s="14">
        <f>34947367/1000</f>
        <v>34947.367</v>
      </c>
      <c r="W32" s="14">
        <v>37589</v>
      </c>
      <c r="X32" s="14">
        <v>44283</v>
      </c>
      <c r="Y32" s="14">
        <v>41631</v>
      </c>
      <c r="Z32" s="208">
        <v>50019</v>
      </c>
      <c r="AA32" s="36">
        <v>60237</v>
      </c>
      <c r="AB32" s="14">
        <v>57468</v>
      </c>
      <c r="AC32" s="14">
        <v>54876</v>
      </c>
      <c r="AD32" s="14"/>
      <c r="AE32" s="3">
        <v>67339094</v>
      </c>
      <c r="AF32" s="3">
        <f t="shared" si="3"/>
        <v>67339.094</v>
      </c>
      <c r="AH32" s="3">
        <v>66048987</v>
      </c>
      <c r="AI32" s="3">
        <f t="shared" si="4"/>
        <v>66048.987</v>
      </c>
      <c r="AK32" s="3">
        <v>78934081</v>
      </c>
      <c r="AL32" s="3">
        <f>AK32/1000</f>
        <v>78934.081</v>
      </c>
      <c r="AM32" s="3">
        <v>78182479</v>
      </c>
      <c r="AN32" s="3">
        <f>AM32/1000</f>
        <v>78182.479</v>
      </c>
      <c r="AP32" s="3">
        <v>72774055</v>
      </c>
      <c r="AQ32" s="3">
        <f>AP32/1000</f>
        <v>72774.055</v>
      </c>
      <c r="AS32" s="221">
        <v>82685971</v>
      </c>
      <c r="AT32" s="3">
        <f>AS32/1000</f>
        <v>82685.971</v>
      </c>
      <c r="AV32" s="3">
        <v>96872831.03999999</v>
      </c>
      <c r="AW32" s="3">
        <f>AV32/1000</f>
        <v>96872.83103999999</v>
      </c>
      <c r="AY32" s="3">
        <v>109666668.05999999</v>
      </c>
      <c r="AZ32" s="3">
        <f>AY32/1000</f>
        <v>109666.66805999998</v>
      </c>
      <c r="BA32" s="3">
        <v>102707595.61999996</v>
      </c>
      <c r="BB32" s="3">
        <f>BA32/1000</f>
        <v>102707.59561999996</v>
      </c>
      <c r="BC32" s="3">
        <v>99158520.36</v>
      </c>
      <c r="BD32" s="3">
        <f>BC32/1000</f>
        <v>99158.52036</v>
      </c>
    </row>
    <row r="33" spans="1:56" ht="12.75">
      <c r="A33" s="1" t="s">
        <v>24</v>
      </c>
      <c r="B33" s="14">
        <v>131234</v>
      </c>
      <c r="C33" s="14">
        <v>151608</v>
      </c>
      <c r="D33" s="14">
        <v>148416</v>
      </c>
      <c r="E33" s="14">
        <v>153351</v>
      </c>
      <c r="F33" s="14">
        <v>164853</v>
      </c>
      <c r="G33" s="14">
        <v>178967.586</v>
      </c>
      <c r="H33" s="14">
        <v>183901.83767000004</v>
      </c>
      <c r="I33" s="14">
        <v>205448.63781000001</v>
      </c>
      <c r="J33" s="14">
        <v>223163.80486</v>
      </c>
      <c r="K33" s="14">
        <v>223815.1801</v>
      </c>
      <c r="L33" s="244">
        <f>(K33-J33)*100/J33</f>
        <v>0.2918821178948033</v>
      </c>
      <c r="M33" s="244">
        <f>(K33-AC33)*100/AC33</f>
        <v>78.48527484708565</v>
      </c>
      <c r="N33" s="14">
        <v>39904</v>
      </c>
      <c r="O33" s="14">
        <v>42081</v>
      </c>
      <c r="P33" s="14">
        <v>46974</v>
      </c>
      <c r="Q33" s="14">
        <v>51579</v>
      </c>
      <c r="R33" s="14">
        <v>58136</v>
      </c>
      <c r="S33" s="14">
        <v>62134</v>
      </c>
      <c r="T33" s="14">
        <v>71488</v>
      </c>
      <c r="U33" s="14">
        <v>79262</v>
      </c>
      <c r="V33" s="14">
        <f>82513977/1000</f>
        <v>82513.977</v>
      </c>
      <c r="W33" s="14">
        <v>83070</v>
      </c>
      <c r="X33" s="14">
        <v>84343</v>
      </c>
      <c r="Y33" s="14">
        <v>90840</v>
      </c>
      <c r="Z33" s="208">
        <v>106212</v>
      </c>
      <c r="AA33" s="36">
        <v>111050</v>
      </c>
      <c r="AB33" s="14">
        <v>117312</v>
      </c>
      <c r="AC33" s="14">
        <v>125397</v>
      </c>
      <c r="AD33" s="14"/>
      <c r="AE33" s="3">
        <v>131233743</v>
      </c>
      <c r="AF33" s="3">
        <f t="shared" si="3"/>
        <v>131233.743</v>
      </c>
      <c r="AH33" s="3">
        <v>151607580</v>
      </c>
      <c r="AI33" s="3">
        <f t="shared" si="4"/>
        <v>151607.58</v>
      </c>
      <c r="AK33" s="3">
        <v>148415509</v>
      </c>
      <c r="AL33" s="3">
        <f>AK33/1000</f>
        <v>148415.509</v>
      </c>
      <c r="AM33" s="3">
        <v>153350968</v>
      </c>
      <c r="AN33" s="3">
        <f>AM33/1000</f>
        <v>153350.968</v>
      </c>
      <c r="AP33" s="3">
        <v>164853300</v>
      </c>
      <c r="AQ33" s="3">
        <f>AP33/1000</f>
        <v>164853.3</v>
      </c>
      <c r="AS33" s="221">
        <v>178967586</v>
      </c>
      <c r="AT33" s="3">
        <f>AS33/1000</f>
        <v>178967.586</v>
      </c>
      <c r="AV33" s="3">
        <v>183901837.67000005</v>
      </c>
      <c r="AW33" s="3">
        <f>AV33/1000</f>
        <v>183901.83767000004</v>
      </c>
      <c r="AY33" s="3">
        <v>205448637.81</v>
      </c>
      <c r="AZ33" s="3">
        <f>AY33/1000</f>
        <v>205448.63781000001</v>
      </c>
      <c r="BA33" s="3">
        <v>223163804.86</v>
      </c>
      <c r="BB33" s="3">
        <f>BA33/1000</f>
        <v>223163.80486</v>
      </c>
      <c r="BC33" s="3">
        <v>223815180.1</v>
      </c>
      <c r="BD33" s="3">
        <f>BC33/1000</f>
        <v>223815.1801</v>
      </c>
    </row>
    <row r="34" spans="1:56" ht="12.75">
      <c r="A34" s="1" t="s">
        <v>25</v>
      </c>
      <c r="B34" s="14">
        <v>26565</v>
      </c>
      <c r="C34" s="14">
        <v>27851</v>
      </c>
      <c r="D34" s="14">
        <v>35520</v>
      </c>
      <c r="E34" s="14">
        <v>30398</v>
      </c>
      <c r="F34" s="14">
        <v>32610</v>
      </c>
      <c r="G34" s="14">
        <v>36621.817</v>
      </c>
      <c r="H34" s="14">
        <v>37620.780450000006</v>
      </c>
      <c r="I34" s="14">
        <v>49011.55276</v>
      </c>
      <c r="J34" s="14">
        <v>47038.863130000005</v>
      </c>
      <c r="K34" s="14">
        <v>53884.07646000001</v>
      </c>
      <c r="L34" s="244">
        <f>(K34-J34)*100/J34</f>
        <v>14.552250786933516</v>
      </c>
      <c r="M34" s="244">
        <f>(K34-AC34)*100/AC34</f>
        <v>106.63449192775246</v>
      </c>
      <c r="N34" s="14">
        <v>10709</v>
      </c>
      <c r="O34" s="14">
        <v>11891</v>
      </c>
      <c r="P34" s="14">
        <v>12405</v>
      </c>
      <c r="Q34" s="14">
        <v>13549</v>
      </c>
      <c r="R34" s="14">
        <v>15646</v>
      </c>
      <c r="S34" s="14">
        <v>16856</v>
      </c>
      <c r="T34" s="14">
        <v>17828</v>
      </c>
      <c r="U34" s="14">
        <v>17937</v>
      </c>
      <c r="V34" s="14">
        <f>19243068/1000</f>
        <v>19243.068</v>
      </c>
      <c r="W34" s="14">
        <v>20480</v>
      </c>
      <c r="X34" s="14">
        <v>21340</v>
      </c>
      <c r="Y34" s="14">
        <v>24058</v>
      </c>
      <c r="Z34" s="208">
        <v>24780</v>
      </c>
      <c r="AA34" s="36">
        <v>25183</v>
      </c>
      <c r="AB34" s="14">
        <v>24663</v>
      </c>
      <c r="AC34" s="14">
        <v>26077</v>
      </c>
      <c r="AD34" s="14"/>
      <c r="AE34" s="3">
        <v>26565331</v>
      </c>
      <c r="AF34" s="3">
        <f t="shared" si="3"/>
        <v>26565.331</v>
      </c>
      <c r="AH34" s="3">
        <v>27851049</v>
      </c>
      <c r="AI34" s="3">
        <f t="shared" si="4"/>
        <v>27851.049</v>
      </c>
      <c r="AK34" s="3">
        <v>35520050</v>
      </c>
      <c r="AL34" s="3">
        <f>AK34/1000</f>
        <v>35520.05</v>
      </c>
      <c r="AM34" s="3">
        <v>30398367</v>
      </c>
      <c r="AN34" s="3">
        <f>AM34/1000</f>
        <v>30398.367</v>
      </c>
      <c r="AP34" s="3">
        <v>32610484</v>
      </c>
      <c r="AQ34" s="3">
        <f>AP34/1000</f>
        <v>32610.484</v>
      </c>
      <c r="AS34" s="221">
        <v>36621817</v>
      </c>
      <c r="AT34" s="3">
        <f>AS34/1000</f>
        <v>36621.817</v>
      </c>
      <c r="AV34" s="3">
        <v>37620780.45</v>
      </c>
      <c r="AW34" s="3">
        <f>AV34/1000</f>
        <v>37620.780450000006</v>
      </c>
      <c r="AY34" s="3">
        <v>49011552.76</v>
      </c>
      <c r="AZ34" s="3">
        <f>AY34/1000</f>
        <v>49011.55276</v>
      </c>
      <c r="BA34" s="3">
        <v>47038863.13</v>
      </c>
      <c r="BB34" s="3">
        <f>BA34/1000</f>
        <v>47038.863130000005</v>
      </c>
      <c r="BC34" s="3">
        <v>53884076.46000001</v>
      </c>
      <c r="BD34" s="3">
        <f>BC34/1000</f>
        <v>53884.07646000001</v>
      </c>
    </row>
    <row r="35" spans="2:45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44"/>
      <c r="M35" s="24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08"/>
      <c r="AA35" s="14"/>
      <c r="AB35" s="14"/>
      <c r="AC35" s="14"/>
      <c r="AD35" s="14"/>
      <c r="AS35" s="221"/>
    </row>
    <row r="36" spans="1:56" ht="12.75">
      <c r="A36" s="1" t="s">
        <v>26</v>
      </c>
      <c r="B36" s="14">
        <v>41669</v>
      </c>
      <c r="C36" s="14">
        <v>45254</v>
      </c>
      <c r="D36" s="14">
        <v>46402</v>
      </c>
      <c r="E36" s="14">
        <v>42924</v>
      </c>
      <c r="F36" s="14">
        <v>43510</v>
      </c>
      <c r="G36" s="14">
        <v>46882.443</v>
      </c>
      <c r="H36" s="14">
        <v>48761.39734</v>
      </c>
      <c r="I36" s="14">
        <v>62926.54607000001</v>
      </c>
      <c r="J36" s="14">
        <v>63594.621900000006</v>
      </c>
      <c r="K36" s="14">
        <v>56709.42085999999</v>
      </c>
      <c r="L36" s="244">
        <f>(K36-J36)*100/J36</f>
        <v>-10.826703319074241</v>
      </c>
      <c r="M36" s="244">
        <f>(K36-AC36)*100/AC36</f>
        <v>68.19236841949163</v>
      </c>
      <c r="N36" s="14">
        <v>13227</v>
      </c>
      <c r="O36" s="14">
        <v>14159</v>
      </c>
      <c r="P36" s="14">
        <v>14928</v>
      </c>
      <c r="Q36" s="14">
        <v>16827</v>
      </c>
      <c r="R36" s="14">
        <v>18561</v>
      </c>
      <c r="S36" s="14">
        <v>22468</v>
      </c>
      <c r="T36" s="14">
        <v>22001</v>
      </c>
      <c r="U36" s="14">
        <v>24187</v>
      </c>
      <c r="V36" s="14">
        <f>23330622/1000</f>
        <v>23330.622</v>
      </c>
      <c r="W36" s="14">
        <v>28560</v>
      </c>
      <c r="X36" s="14">
        <v>28062</v>
      </c>
      <c r="Y36" s="14">
        <v>29579</v>
      </c>
      <c r="Z36" s="208">
        <v>35210</v>
      </c>
      <c r="AA36" s="14">
        <v>34454</v>
      </c>
      <c r="AB36" s="14">
        <v>33752</v>
      </c>
      <c r="AC36" s="14">
        <v>33717</v>
      </c>
      <c r="AD36" s="14"/>
      <c r="AE36" s="3">
        <v>41668758</v>
      </c>
      <c r="AF36" s="3">
        <f t="shared" si="3"/>
        <v>41668.758</v>
      </c>
      <c r="AH36" s="3">
        <v>45253749</v>
      </c>
      <c r="AI36" s="3">
        <f t="shared" si="4"/>
        <v>45253.749</v>
      </c>
      <c r="AK36" s="3">
        <v>46402211</v>
      </c>
      <c r="AL36" s="3">
        <f>AK36/1000</f>
        <v>46402.211</v>
      </c>
      <c r="AM36" s="3">
        <v>42923896</v>
      </c>
      <c r="AN36" s="3">
        <f>AM36/1000</f>
        <v>42923.896</v>
      </c>
      <c r="AP36" s="3">
        <v>43510095</v>
      </c>
      <c r="AQ36" s="3">
        <f>AP36/1000</f>
        <v>43510.095</v>
      </c>
      <c r="AS36" s="221">
        <v>46882443</v>
      </c>
      <c r="AT36" s="3">
        <f>AS36/1000</f>
        <v>46882.443</v>
      </c>
      <c r="AV36" s="3">
        <v>48761397.34</v>
      </c>
      <c r="AW36" s="3">
        <f>AV36/1000</f>
        <v>48761.39734</v>
      </c>
      <c r="AY36" s="3">
        <v>62926546.07000001</v>
      </c>
      <c r="AZ36" s="3">
        <f>AY36/1000</f>
        <v>62926.54607000001</v>
      </c>
      <c r="BA36" s="3">
        <v>63594621.900000006</v>
      </c>
      <c r="BB36" s="3">
        <f>BA36/1000</f>
        <v>63594.621900000006</v>
      </c>
      <c r="BC36" s="3">
        <v>56709420.85999999</v>
      </c>
      <c r="BD36" s="3">
        <f>BC36/1000</f>
        <v>56709.42085999999</v>
      </c>
    </row>
    <row r="37" spans="1:56" ht="12.75">
      <c r="A37" s="1" t="s">
        <v>27</v>
      </c>
      <c r="B37" s="14">
        <v>154921</v>
      </c>
      <c r="C37" s="14">
        <v>166028</v>
      </c>
      <c r="D37" s="14">
        <v>170801</v>
      </c>
      <c r="E37" s="14">
        <v>182887</v>
      </c>
      <c r="F37" s="14">
        <v>197473</v>
      </c>
      <c r="G37" s="14">
        <v>217420.878</v>
      </c>
      <c r="H37" s="14">
        <v>236894.68472999995</v>
      </c>
      <c r="I37" s="14">
        <v>305300.21220000007</v>
      </c>
      <c r="J37" s="14">
        <v>326238.66884000006</v>
      </c>
      <c r="K37" s="14">
        <v>293793.52243</v>
      </c>
      <c r="L37" s="244">
        <f>(K37-J37)*100/J37</f>
        <v>-9.94521787541758</v>
      </c>
      <c r="M37" s="244">
        <f>(K37-AC37)*100/AC37</f>
        <v>93.73513648802812</v>
      </c>
      <c r="N37" s="14">
        <v>62225</v>
      </c>
      <c r="O37" s="14">
        <v>68136</v>
      </c>
      <c r="P37" s="14">
        <v>72445</v>
      </c>
      <c r="Q37" s="14">
        <v>79258</v>
      </c>
      <c r="R37" s="14">
        <v>84925</v>
      </c>
      <c r="S37" s="14">
        <v>94217</v>
      </c>
      <c r="T37" s="14">
        <v>101062</v>
      </c>
      <c r="U37" s="14">
        <v>105017</v>
      </c>
      <c r="V37" s="14">
        <f>116866349/1000</f>
        <v>116866.349</v>
      </c>
      <c r="W37" s="14">
        <v>112882</v>
      </c>
      <c r="X37" s="14">
        <v>123671</v>
      </c>
      <c r="Y37" s="14">
        <v>121964</v>
      </c>
      <c r="Z37" s="208">
        <v>132147</v>
      </c>
      <c r="AA37" s="14">
        <v>133133</v>
      </c>
      <c r="AB37" s="14">
        <v>142354</v>
      </c>
      <c r="AC37" s="14">
        <v>151647</v>
      </c>
      <c r="AD37" s="14"/>
      <c r="AE37" s="3">
        <v>154920905</v>
      </c>
      <c r="AF37" s="3">
        <f t="shared" si="3"/>
        <v>154920.905</v>
      </c>
      <c r="AH37" s="3">
        <v>166028475</v>
      </c>
      <c r="AI37" s="3">
        <f t="shared" si="4"/>
        <v>166028.475</v>
      </c>
      <c r="AK37" s="3">
        <v>170801070</v>
      </c>
      <c r="AL37" s="3">
        <f>AK37/1000</f>
        <v>170801.07</v>
      </c>
      <c r="AM37" s="3">
        <v>182886879</v>
      </c>
      <c r="AN37" s="3">
        <f>AM37/1000</f>
        <v>182886.879</v>
      </c>
      <c r="AP37" s="3">
        <v>197472528</v>
      </c>
      <c r="AQ37" s="3">
        <f>AP37/1000</f>
        <v>197472.528</v>
      </c>
      <c r="AS37" s="222">
        <v>217420878</v>
      </c>
      <c r="AT37" s="3">
        <f>AS37/1000</f>
        <v>217420.878</v>
      </c>
      <c r="AV37" s="3">
        <v>236894684.72999996</v>
      </c>
      <c r="AW37" s="3">
        <f>AV37/1000</f>
        <v>236894.68472999995</v>
      </c>
      <c r="AY37" s="3">
        <v>305300212.20000005</v>
      </c>
      <c r="AZ37" s="3">
        <f>AY37/1000</f>
        <v>305300.21220000007</v>
      </c>
      <c r="BA37" s="3">
        <v>326238668.84000003</v>
      </c>
      <c r="BB37" s="3">
        <f>BA37/1000</f>
        <v>326238.66884000006</v>
      </c>
      <c r="BC37" s="3">
        <v>293793522.43</v>
      </c>
      <c r="BD37" s="3">
        <f>BC37/1000</f>
        <v>293793.52243</v>
      </c>
    </row>
    <row r="38" spans="1:56" ht="12.75">
      <c r="A38" s="1" t="s">
        <v>28</v>
      </c>
      <c r="B38" s="14">
        <v>117318</v>
      </c>
      <c r="C38" s="14">
        <v>122077</v>
      </c>
      <c r="D38" s="14">
        <v>130994</v>
      </c>
      <c r="E38" s="14">
        <v>134582</v>
      </c>
      <c r="F38" s="14">
        <v>151669</v>
      </c>
      <c r="G38" s="14">
        <v>163271.31</v>
      </c>
      <c r="H38" s="14">
        <v>166108.34189</v>
      </c>
      <c r="I38" s="14">
        <v>194257.71067</v>
      </c>
      <c r="J38" s="14">
        <v>192873.42625000002</v>
      </c>
      <c r="K38" s="14">
        <v>229068.65485</v>
      </c>
      <c r="L38" s="244">
        <f>(K38-J38)*100/J38</f>
        <v>18.76631182622545</v>
      </c>
      <c r="M38" s="244">
        <f>(K38-AC38)*100/AC38</f>
        <v>104.52010647036239</v>
      </c>
      <c r="N38" s="14">
        <v>38183</v>
      </c>
      <c r="O38" s="14">
        <v>41780</v>
      </c>
      <c r="P38" s="14">
        <v>43706</v>
      </c>
      <c r="Q38" s="14">
        <v>48370</v>
      </c>
      <c r="R38" s="14">
        <v>54737</v>
      </c>
      <c r="S38" s="14">
        <v>60121</v>
      </c>
      <c r="T38" s="14">
        <v>68605</v>
      </c>
      <c r="U38" s="14">
        <v>67973</v>
      </c>
      <c r="V38" s="14">
        <f>69860442/1000</f>
        <v>69860.442</v>
      </c>
      <c r="W38" s="14">
        <v>75922</v>
      </c>
      <c r="X38" s="14">
        <v>82078</v>
      </c>
      <c r="Y38" s="14">
        <v>81099</v>
      </c>
      <c r="Z38" s="208">
        <v>95747</v>
      </c>
      <c r="AA38" s="14">
        <v>98242</v>
      </c>
      <c r="AB38" s="14">
        <v>115399</v>
      </c>
      <c r="AC38" s="14">
        <v>112003</v>
      </c>
      <c r="AD38" s="14"/>
      <c r="AE38" s="3">
        <v>117318390</v>
      </c>
      <c r="AF38" s="3">
        <f t="shared" si="3"/>
        <v>117318.39</v>
      </c>
      <c r="AH38" s="3">
        <v>122076503</v>
      </c>
      <c r="AI38" s="3">
        <f t="shared" si="4"/>
        <v>122076.503</v>
      </c>
      <c r="AK38" s="3">
        <v>130994435</v>
      </c>
      <c r="AL38" s="3">
        <f>AK38/1000</f>
        <v>130994.435</v>
      </c>
      <c r="AM38" s="3">
        <v>134581795</v>
      </c>
      <c r="AN38" s="3">
        <f>AM38/1000</f>
        <v>134581.795</v>
      </c>
      <c r="AP38" s="3">
        <v>151668650</v>
      </c>
      <c r="AQ38" s="3">
        <f>AP38/1000</f>
        <v>151668.65</v>
      </c>
      <c r="AS38" s="221">
        <v>163271310</v>
      </c>
      <c r="AT38" s="3">
        <f>AS38/1000</f>
        <v>163271.31</v>
      </c>
      <c r="AV38" s="3">
        <v>166108341.89000002</v>
      </c>
      <c r="AW38" s="3">
        <f>AV38/1000</f>
        <v>166108.34189</v>
      </c>
      <c r="AY38" s="3">
        <v>194257710.67</v>
      </c>
      <c r="AZ38" s="3">
        <f>AY38/1000</f>
        <v>194257.71067</v>
      </c>
      <c r="BA38" s="3">
        <v>192873426.25000003</v>
      </c>
      <c r="BB38" s="3">
        <f>BA38/1000</f>
        <v>192873.42625000002</v>
      </c>
      <c r="BC38" s="3">
        <v>229068654.85</v>
      </c>
      <c r="BD38" s="3">
        <f>BC38/1000</f>
        <v>229068.65485</v>
      </c>
    </row>
    <row r="39" spans="1:56" ht="12.75">
      <c r="A39" s="17" t="s">
        <v>29</v>
      </c>
      <c r="B39" s="14">
        <v>65267</v>
      </c>
      <c r="C39" s="14">
        <v>72555</v>
      </c>
      <c r="D39" s="14">
        <v>72740</v>
      </c>
      <c r="E39" s="14">
        <v>76180</v>
      </c>
      <c r="F39" s="14">
        <v>91352</v>
      </c>
      <c r="G39" s="14">
        <v>94936.294</v>
      </c>
      <c r="H39" s="14">
        <v>93321.39033000002</v>
      </c>
      <c r="I39" s="14">
        <v>125068.49233000002</v>
      </c>
      <c r="J39" s="14">
        <v>135713.61137</v>
      </c>
      <c r="K39" s="14">
        <v>121325.89813</v>
      </c>
      <c r="L39" s="244">
        <f>(K39-J39)*100/J39</f>
        <v>-10.601525591102542</v>
      </c>
      <c r="M39" s="244">
        <f>(K39-AC39)*100/AC39</f>
        <v>84.6355984994902</v>
      </c>
      <c r="N39" s="14">
        <v>20588</v>
      </c>
      <c r="O39" s="14">
        <v>23794</v>
      </c>
      <c r="P39" s="14">
        <v>26382</v>
      </c>
      <c r="Q39" s="14">
        <v>26532</v>
      </c>
      <c r="R39" s="14">
        <v>28854</v>
      </c>
      <c r="S39" s="14">
        <v>32852</v>
      </c>
      <c r="T39" s="14">
        <v>34998</v>
      </c>
      <c r="U39" s="24">
        <v>36617</v>
      </c>
      <c r="V39" s="24">
        <f>37961130/1000</f>
        <v>37961.13</v>
      </c>
      <c r="W39" s="24">
        <v>41287</v>
      </c>
      <c r="X39" s="24">
        <v>42363</v>
      </c>
      <c r="Y39" s="14">
        <v>43527</v>
      </c>
      <c r="Z39" s="208">
        <v>53563</v>
      </c>
      <c r="AA39" s="14">
        <v>51654</v>
      </c>
      <c r="AB39" s="14">
        <v>54932</v>
      </c>
      <c r="AC39" s="14">
        <v>65711</v>
      </c>
      <c r="AD39" s="14"/>
      <c r="AE39" s="3">
        <v>65267180</v>
      </c>
      <c r="AF39" s="3">
        <f t="shared" si="3"/>
        <v>65267.18</v>
      </c>
      <c r="AH39" s="3">
        <v>72554787</v>
      </c>
      <c r="AI39" s="3">
        <f t="shared" si="4"/>
        <v>72554.787</v>
      </c>
      <c r="AK39" s="3">
        <v>72739707</v>
      </c>
      <c r="AL39" s="3">
        <f>AK39/1000</f>
        <v>72739.707</v>
      </c>
      <c r="AM39" s="3">
        <v>76179541</v>
      </c>
      <c r="AN39" s="3">
        <f>AM39/1000</f>
        <v>76179.541</v>
      </c>
      <c r="AP39" s="3">
        <v>91351883</v>
      </c>
      <c r="AQ39" s="3">
        <f>AP39/1000</f>
        <v>91351.883</v>
      </c>
      <c r="AS39" s="223">
        <v>94936294</v>
      </c>
      <c r="AT39" s="3">
        <f>AS39/1000</f>
        <v>94936.294</v>
      </c>
      <c r="AV39" s="3">
        <v>93321390.33000003</v>
      </c>
      <c r="AW39" s="3">
        <f>AV39/1000</f>
        <v>93321.39033000002</v>
      </c>
      <c r="AY39" s="3">
        <v>125068492.33000003</v>
      </c>
      <c r="AZ39" s="3">
        <f>AY39/1000</f>
        <v>125068.49233000002</v>
      </c>
      <c r="BA39" s="3">
        <v>135713611.37</v>
      </c>
      <c r="BB39" s="3">
        <f>BA39/1000</f>
        <v>135713.61137</v>
      </c>
      <c r="BC39" s="3">
        <v>121325898.13</v>
      </c>
      <c r="BD39" s="3">
        <f>BC39/1000</f>
        <v>121325.89813</v>
      </c>
    </row>
    <row r="40" spans="1:28" ht="12.75">
      <c r="A40" s="1" t="s">
        <v>304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Q40" s="19"/>
      <c r="R40" s="19"/>
      <c r="S40" s="19"/>
      <c r="T40" s="19"/>
      <c r="X40" s="18"/>
      <c r="Y40" s="19"/>
      <c r="AA40" s="18"/>
      <c r="AB40" s="7"/>
    </row>
    <row r="41" spans="1:25" ht="12.75">
      <c r="A41" s="1" t="s">
        <v>228</v>
      </c>
      <c r="Q41" s="14"/>
      <c r="R41" s="14"/>
      <c r="S41" s="14"/>
      <c r="T41" s="14"/>
      <c r="Y41" s="14"/>
    </row>
    <row r="42" spans="17:25" ht="12.75">
      <c r="Q42" s="14"/>
      <c r="R42" s="14"/>
      <c r="S42" s="14"/>
      <c r="T42" s="14"/>
      <c r="Y42" s="14"/>
    </row>
    <row r="43" spans="17:25" ht="12.75">
      <c r="Q43" s="14"/>
      <c r="R43" s="14"/>
      <c r="S43" s="14"/>
      <c r="T43" s="14"/>
      <c r="Y43" s="14"/>
    </row>
    <row r="44" spans="17:25" ht="12.75">
      <c r="Q44" s="14"/>
      <c r="R44" s="14"/>
      <c r="S44" s="14"/>
      <c r="T44" s="14"/>
      <c r="Y44" s="14"/>
    </row>
    <row r="45" spans="17:25" ht="12.75">
      <c r="Q45" s="14"/>
      <c r="R45" s="14"/>
      <c r="S45" s="14"/>
      <c r="T45" s="14"/>
      <c r="Y45" s="14"/>
    </row>
    <row r="46" ht="12.75">
      <c r="Y46" s="14"/>
    </row>
    <row r="47" ht="12.75">
      <c r="Y47" s="14"/>
    </row>
    <row r="48" ht="12.75">
      <c r="Y48" s="14"/>
    </row>
    <row r="49" ht="12.75">
      <c r="Y49" s="14"/>
    </row>
    <row r="50" ht="12.75">
      <c r="Y50" s="14"/>
    </row>
    <row r="51" ht="12.75">
      <c r="Y51" s="14"/>
    </row>
    <row r="52" ht="12.75">
      <c r="Y52" s="14"/>
    </row>
  </sheetData>
  <sheetProtection password="CAF5" sheet="1"/>
  <mergeCells count="7">
    <mergeCell ref="A4:M4"/>
    <mergeCell ref="AY6:AZ7"/>
    <mergeCell ref="AP9:AQ9"/>
    <mergeCell ref="AM9:AN9"/>
    <mergeCell ref="AK9:AL9"/>
    <mergeCell ref="AE9:AF9"/>
    <mergeCell ref="AH9:AI9"/>
  </mergeCells>
  <printOptions horizontalCentered="1"/>
  <pageMargins left="0.56" right="0.48" top="1" bottom="1" header="0.5" footer="0.5"/>
  <pageSetup fitToHeight="1" fitToWidth="1" orientation="landscape" scale="76" r:id="rId1"/>
  <headerFooter scaleWithDoc="0" alignWithMargins="0">
    <oddFooter>&amp;L&amp;"Arial,Italic"&amp;10MSDE-LFRO   10/ 2011&amp;C&amp;"Arial,Regular"&amp;10- 6 -&amp;R&amp;"Arial,Italic"&amp;10Selected Financial Data - Part 4</oddFooter>
  </headerFooter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2"/>
  <sheetViews>
    <sheetView workbookViewId="0" topLeftCell="A1">
      <selection activeCell="A41" sqref="A41"/>
    </sheetView>
  </sheetViews>
  <sheetFormatPr defaultColWidth="10.00390625" defaultRowHeight="15.75"/>
  <cols>
    <col min="1" max="1" width="12.875" style="1" customWidth="1"/>
    <col min="2" max="2" width="11.50390625" style="1" customWidth="1"/>
    <col min="3" max="3" width="10.625" style="1" customWidth="1"/>
    <col min="4" max="5" width="10.50390625" style="1" customWidth="1"/>
    <col min="6" max="9" width="12.625" style="1" customWidth="1"/>
    <col min="10" max="10" width="11.375" style="1" bestFit="1" customWidth="1"/>
    <col min="11" max="11" width="10.625" style="1" customWidth="1"/>
    <col min="12" max="13" width="8.00390625" style="1" customWidth="1"/>
    <col min="14" max="14" width="9.125" style="1" customWidth="1"/>
    <col min="15" max="16" width="9.625" style="1" bestFit="1" customWidth="1"/>
    <col min="17" max="24" width="10.125" style="1" customWidth="1"/>
    <col min="25" max="25" width="12.625" style="94" customWidth="1"/>
    <col min="26" max="26" width="11.125" style="7" bestFit="1" customWidth="1"/>
    <col min="27" max="28" width="11.50390625" style="1" customWidth="1"/>
    <col min="29" max="29" width="11.375" style="7" customWidth="1"/>
    <col min="30" max="30" width="5.00390625" style="7" customWidth="1"/>
    <col min="31" max="31" width="14.875" style="3" customWidth="1"/>
    <col min="32" max="32" width="11.375" style="3" customWidth="1"/>
    <col min="33" max="33" width="11.375" style="3" bestFit="1" customWidth="1"/>
    <col min="34" max="34" width="10.125" style="3" customWidth="1"/>
    <col min="35" max="35" width="4.75390625" style="3" customWidth="1"/>
    <col min="36" max="36" width="12.75390625" style="3" bestFit="1" customWidth="1"/>
    <col min="37" max="37" width="12.625" style="3" customWidth="1"/>
    <col min="38" max="38" width="11.75390625" style="3" customWidth="1"/>
    <col min="39" max="39" width="10.125" style="3" customWidth="1"/>
    <col min="40" max="40" width="4.25390625" style="3" customWidth="1"/>
    <col min="41" max="41" width="14.75390625" style="3" customWidth="1"/>
    <col min="42" max="42" width="10.875" style="3" customWidth="1"/>
    <col min="43" max="43" width="12.75390625" style="3" bestFit="1" customWidth="1"/>
    <col min="44" max="44" width="13.25390625" style="3" customWidth="1"/>
    <col min="45" max="45" width="4.25390625" style="3" customWidth="1"/>
    <col min="46" max="46" width="12.75390625" style="3" customWidth="1"/>
    <col min="47" max="47" width="11.25390625" style="3" customWidth="1"/>
    <col min="48" max="48" width="12.75390625" style="3" bestFit="1" customWidth="1"/>
    <col min="49" max="50" width="10.125" style="3" customWidth="1"/>
    <col min="51" max="51" width="14.75390625" style="3" bestFit="1" customWidth="1"/>
    <col min="52" max="52" width="11.375" style="3" bestFit="1" customWidth="1"/>
    <col min="53" max="53" width="13.75390625" style="3" bestFit="1" customWidth="1"/>
    <col min="54" max="54" width="10.375" style="3" bestFit="1" customWidth="1"/>
    <col min="55" max="55" width="10.00390625" style="3" customWidth="1"/>
    <col min="56" max="56" width="15.125" style="3" customWidth="1"/>
    <col min="57" max="57" width="11.25390625" style="3" customWidth="1"/>
    <col min="58" max="58" width="13.75390625" style="3" bestFit="1" customWidth="1"/>
    <col min="59" max="59" width="10.375" style="3" bestFit="1" customWidth="1"/>
    <col min="60" max="60" width="10.00390625" style="3" customWidth="1"/>
    <col min="61" max="61" width="14.75390625" style="3" bestFit="1" customWidth="1"/>
    <col min="62" max="62" width="11.875" style="3" bestFit="1" customWidth="1"/>
    <col min="63" max="63" width="13.75390625" style="3" bestFit="1" customWidth="1"/>
    <col min="64" max="64" width="10.00390625" style="3" customWidth="1"/>
    <col min="65" max="16384" width="10.00390625" style="3" customWidth="1"/>
  </cols>
  <sheetData>
    <row r="1" spans="1:30" s="126" customFormat="1" ht="15.75" customHeight="1">
      <c r="A1" s="115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0"/>
      <c r="O1" s="68"/>
      <c r="P1" s="68"/>
      <c r="Q1" s="94"/>
      <c r="R1" s="2"/>
      <c r="S1" s="2"/>
      <c r="T1" s="2"/>
      <c r="U1" s="94"/>
      <c r="V1" s="94"/>
      <c r="W1" s="94"/>
      <c r="X1" s="10"/>
      <c r="Y1" s="10"/>
      <c r="Z1" s="173"/>
      <c r="AA1" s="68"/>
      <c r="AB1" s="68"/>
      <c r="AC1" s="173"/>
      <c r="AD1" s="173"/>
    </row>
    <row r="2" spans="1:30" s="126" customFormat="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94"/>
      <c r="R2" s="2"/>
      <c r="S2" s="2"/>
      <c r="T2" s="2"/>
      <c r="U2" s="94"/>
      <c r="V2" s="94"/>
      <c r="W2" s="94"/>
      <c r="X2" s="2"/>
      <c r="Y2" s="2"/>
      <c r="Z2" s="173"/>
      <c r="AA2" s="68"/>
      <c r="AB2" s="68"/>
      <c r="AC2" s="173"/>
      <c r="AD2" s="173"/>
    </row>
    <row r="3" spans="1:30" s="126" customFormat="1" ht="12.75">
      <c r="A3" s="115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27"/>
      <c r="O3" s="10"/>
      <c r="P3" s="10"/>
      <c r="Q3" s="94"/>
      <c r="R3" s="2"/>
      <c r="S3" s="2"/>
      <c r="T3" s="2"/>
      <c r="U3" s="94"/>
      <c r="V3" s="94"/>
      <c r="W3" s="94"/>
      <c r="X3" s="2"/>
      <c r="Y3" s="115"/>
      <c r="Z3" s="173"/>
      <c r="AA3" s="201"/>
      <c r="AB3" s="201"/>
      <c r="AC3" s="173"/>
      <c r="AD3" s="173"/>
    </row>
    <row r="4" spans="1:35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201"/>
      <c r="P4" s="201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1"/>
    </row>
    <row r="5" spans="1:30" s="126" customFormat="1" ht="13.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97"/>
      <c r="P5" s="94"/>
      <c r="Q5" s="94"/>
      <c r="R5" s="94"/>
      <c r="S5" s="94"/>
      <c r="T5" s="94"/>
      <c r="U5" s="94"/>
      <c r="V5" s="94"/>
      <c r="W5" s="94"/>
      <c r="X5" s="94"/>
      <c r="Y5" s="115"/>
      <c r="Z5" s="173"/>
      <c r="AA5" s="115"/>
      <c r="AB5" s="115"/>
      <c r="AC5" s="173"/>
      <c r="AD5" s="173"/>
    </row>
    <row r="6" spans="1:29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5"/>
      <c r="U6" s="5"/>
      <c r="V6" s="5"/>
      <c r="W6" s="5"/>
      <c r="X6" s="172"/>
      <c r="Y6" s="5"/>
      <c r="Z6" s="5"/>
      <c r="AA6" s="5"/>
      <c r="AB6" s="5"/>
      <c r="AC6" s="5"/>
    </row>
    <row r="7" spans="12:64" ht="13.5" thickBot="1">
      <c r="L7" s="315" t="s">
        <v>34</v>
      </c>
      <c r="M7" s="315"/>
      <c r="X7" s="94"/>
      <c r="Y7" s="1"/>
      <c r="Z7" s="1"/>
      <c r="AC7" s="1"/>
      <c r="AD7" s="1"/>
      <c r="AE7" s="319" t="s">
        <v>184</v>
      </c>
      <c r="AF7" s="319"/>
      <c r="AG7" s="319"/>
      <c r="AH7" s="319"/>
      <c r="AJ7" s="319" t="s">
        <v>194</v>
      </c>
      <c r="AK7" s="319"/>
      <c r="AL7" s="319"/>
      <c r="AM7" s="319"/>
      <c r="AO7" s="318" t="s">
        <v>208</v>
      </c>
      <c r="AP7" s="318"/>
      <c r="AQ7" s="318"/>
      <c r="AR7" s="318"/>
      <c r="AT7" s="318" t="s">
        <v>243</v>
      </c>
      <c r="AU7" s="318"/>
      <c r="AV7" s="318"/>
      <c r="AW7" s="318"/>
      <c r="AY7" s="318" t="s">
        <v>256</v>
      </c>
      <c r="AZ7" s="318"/>
      <c r="BA7" s="318"/>
      <c r="BB7" s="318"/>
      <c r="BD7" s="318" t="s">
        <v>269</v>
      </c>
      <c r="BE7" s="318"/>
      <c r="BF7" s="318"/>
      <c r="BG7" s="318"/>
      <c r="BI7" s="318" t="s">
        <v>284</v>
      </c>
      <c r="BJ7" s="318"/>
      <c r="BK7" s="318"/>
      <c r="BL7" s="318"/>
    </row>
    <row r="8" spans="1:64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O8" s="7"/>
      <c r="P8" s="7"/>
      <c r="R8" s="7"/>
      <c r="T8" s="7"/>
      <c r="U8" s="7"/>
      <c r="V8" s="7"/>
      <c r="W8" s="7"/>
      <c r="X8" s="173"/>
      <c r="Y8" s="7"/>
      <c r="AA8" s="7"/>
      <c r="AB8" s="7"/>
      <c r="AE8" s="3" t="s">
        <v>169</v>
      </c>
      <c r="AF8" s="3" t="s">
        <v>107</v>
      </c>
      <c r="AJ8" s="3" t="s">
        <v>169</v>
      </c>
      <c r="AK8" s="3" t="s">
        <v>107</v>
      </c>
      <c r="AO8" s="3" t="s">
        <v>169</v>
      </c>
      <c r="AP8" s="3" t="s">
        <v>107</v>
      </c>
      <c r="AQ8" s="3" t="s">
        <v>212</v>
      </c>
      <c r="AR8" s="3" t="s">
        <v>213</v>
      </c>
      <c r="AT8" s="3" t="s">
        <v>169</v>
      </c>
      <c r="AU8" s="3" t="s">
        <v>107</v>
      </c>
      <c r="AV8" s="3" t="s">
        <v>212</v>
      </c>
      <c r="AW8" s="3" t="s">
        <v>213</v>
      </c>
      <c r="AY8" s="3" t="s">
        <v>169</v>
      </c>
      <c r="AZ8" s="3" t="s">
        <v>107</v>
      </c>
      <c r="BA8" s="3" t="s">
        <v>212</v>
      </c>
      <c r="BB8" s="3" t="s">
        <v>213</v>
      </c>
      <c r="BD8" s="3" t="s">
        <v>169</v>
      </c>
      <c r="BE8" s="3" t="s">
        <v>107</v>
      </c>
      <c r="BF8" s="3" t="s">
        <v>212</v>
      </c>
      <c r="BG8" s="3" t="s">
        <v>213</v>
      </c>
      <c r="BI8" s="3" t="s">
        <v>169</v>
      </c>
      <c r="BJ8" s="3" t="s">
        <v>107</v>
      </c>
      <c r="BK8" s="3" t="s">
        <v>212</v>
      </c>
      <c r="BL8" s="3" t="s">
        <v>213</v>
      </c>
    </row>
    <row r="9" spans="1:62" ht="13.5" thickBot="1">
      <c r="A9" s="8" t="s">
        <v>1</v>
      </c>
      <c r="B9" s="9" t="s">
        <v>105</v>
      </c>
      <c r="C9" s="9" t="s">
        <v>161</v>
      </c>
      <c r="D9" s="9" t="s">
        <v>168</v>
      </c>
      <c r="E9" s="9" t="s">
        <v>184</v>
      </c>
      <c r="F9" s="9" t="s">
        <v>194</v>
      </c>
      <c r="G9" s="9" t="s">
        <v>208</v>
      </c>
      <c r="H9" s="9" t="s">
        <v>243</v>
      </c>
      <c r="I9" s="9" t="s">
        <v>256</v>
      </c>
      <c r="J9" s="9" t="s">
        <v>269</v>
      </c>
      <c r="K9" s="9" t="s">
        <v>284</v>
      </c>
      <c r="L9" s="9" t="s">
        <v>84</v>
      </c>
      <c r="M9" s="9" t="s">
        <v>84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4" t="s">
        <v>178</v>
      </c>
      <c r="X9" s="4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8" t="s">
        <v>104</v>
      </c>
      <c r="AD9" s="33"/>
      <c r="AF9" s="3" t="s">
        <v>106</v>
      </c>
      <c r="AK9" s="3" t="s">
        <v>106</v>
      </c>
      <c r="AP9" s="3" t="s">
        <v>106</v>
      </c>
      <c r="AU9" s="3" t="s">
        <v>106</v>
      </c>
      <c r="AZ9" s="3" t="s">
        <v>106</v>
      </c>
      <c r="BE9" s="3" t="s">
        <v>106</v>
      </c>
      <c r="BJ9" s="3" t="s">
        <v>106</v>
      </c>
    </row>
    <row r="10" spans="1:64" ht="13.5" thickTop="1">
      <c r="A10" s="7" t="s">
        <v>5</v>
      </c>
      <c r="B10" s="12">
        <v>6446370</v>
      </c>
      <c r="C10" s="12">
        <v>6901121</v>
      </c>
      <c r="D10" s="12">
        <v>7314458</v>
      </c>
      <c r="E10" s="12">
        <v>7555882</v>
      </c>
      <c r="F10" s="12">
        <v>8024111</v>
      </c>
      <c r="G10" s="12">
        <v>8691114.07099</v>
      </c>
      <c r="H10" s="12">
        <v>9483526.215979999</v>
      </c>
      <c r="I10" s="12">
        <v>10338201.845540006</v>
      </c>
      <c r="J10" s="12">
        <v>10664548.544969998</v>
      </c>
      <c r="K10" s="12">
        <f>SUM(K12:K39)</f>
        <v>10864933.846289998</v>
      </c>
      <c r="L10" s="244">
        <f>(K10-J10)*100/J10</f>
        <v>1.878985317334531</v>
      </c>
      <c r="M10" s="244">
        <f>(K10-AC10)*100/AC10</f>
        <v>83.48670167244963</v>
      </c>
      <c r="N10" s="13">
        <v>2106149</v>
      </c>
      <c r="O10" s="11">
        <v>2262412</v>
      </c>
      <c r="P10" s="11">
        <v>2449656</v>
      </c>
      <c r="Q10" s="11">
        <v>2725905</v>
      </c>
      <c r="R10" s="11">
        <f aca="true" t="shared" si="0" ref="R10:W10">SUM(R12:R39)</f>
        <v>3021129</v>
      </c>
      <c r="S10" s="11">
        <f t="shared" si="0"/>
        <v>3335386</v>
      </c>
      <c r="T10" s="11">
        <f t="shared" si="0"/>
        <v>3633138</v>
      </c>
      <c r="U10" s="11">
        <f t="shared" si="0"/>
        <v>3745093</v>
      </c>
      <c r="V10" s="11">
        <f t="shared" si="0"/>
        <v>3937239.5520000006</v>
      </c>
      <c r="W10" s="11">
        <f t="shared" si="0"/>
        <v>4276788</v>
      </c>
      <c r="X10" s="211">
        <f>SUM(X12:X39)</f>
        <v>4539001</v>
      </c>
      <c r="Y10" s="12">
        <f>SUM(Y12:Y39)</f>
        <v>4710122.867999999</v>
      </c>
      <c r="Z10" s="12">
        <f>SUM(Z12:Z39)</f>
        <v>4916670</v>
      </c>
      <c r="AA10" s="12">
        <f>SUM(AA12:AA39)</f>
        <v>5234380</v>
      </c>
      <c r="AB10" s="12">
        <f>SUM(AB12:AB39)-1</f>
        <v>5563224</v>
      </c>
      <c r="AC10" s="12">
        <f>SUM(AC12:AC39)</f>
        <v>5921374</v>
      </c>
      <c r="AD10" s="12"/>
      <c r="AE10" s="11">
        <f>SUM(AE12:AE39)</f>
        <v>7939446615</v>
      </c>
      <c r="AF10" s="155">
        <f>SUM(AF12:AF39)</f>
        <v>383567010</v>
      </c>
      <c r="AG10" s="63">
        <f>SUM(AG12:AG39)</f>
        <v>7555879605</v>
      </c>
      <c r="AJ10" s="11">
        <f>SUM(AJ12:AJ39)</f>
        <v>8427289516</v>
      </c>
      <c r="AK10" s="11">
        <f>SUM(AK12:AK39)</f>
        <v>403179150</v>
      </c>
      <c r="AL10" s="63">
        <f>SUM(AL12:AL39)</f>
        <v>8024110366</v>
      </c>
      <c r="AO10" s="11">
        <f>SUM(AO12:AO39)</f>
        <v>9097990497.99</v>
      </c>
      <c r="AP10" s="11">
        <f>SUM(AP12:AP39)</f>
        <v>406876427</v>
      </c>
      <c r="AQ10" s="11">
        <f>SUM(AQ12:AQ39)</f>
        <v>8691114070.99</v>
      </c>
      <c r="AR10" s="11">
        <f>SUM(AR12:AR39)</f>
        <v>8691114.07099</v>
      </c>
      <c r="AT10" s="11">
        <f>SUM(AT12:AT39)</f>
        <v>9929668515.98</v>
      </c>
      <c r="AU10" s="11">
        <f>SUM(AU12:AU39)</f>
        <v>446142300</v>
      </c>
      <c r="AV10" s="11">
        <f>SUM(AV12:AV39)</f>
        <v>9483526215.98</v>
      </c>
      <c r="AW10" s="11">
        <f>SUM(AW12:AW39)</f>
        <v>9483526.215979999</v>
      </c>
      <c r="AY10" s="11">
        <f>SUM(AY12:AY39)</f>
        <v>10904649535.540003</v>
      </c>
      <c r="AZ10" s="11">
        <f>SUM(AZ12:AZ39)</f>
        <v>566447690</v>
      </c>
      <c r="BA10" s="11">
        <f>SUM(BA12:BA39)</f>
        <v>10338201845.540003</v>
      </c>
      <c r="BB10" s="11">
        <f>SUM(BB12:BB39)</f>
        <v>10338201.845540006</v>
      </c>
      <c r="BD10" s="11">
        <f>SUM(BD12:BD39)</f>
        <v>11286317964.970003</v>
      </c>
      <c r="BE10" s="11">
        <f>SUM(BE12:BE39)</f>
        <v>621769420</v>
      </c>
      <c r="BF10" s="11">
        <f>SUM(BF12:BF39)</f>
        <v>10664548544.970001</v>
      </c>
      <c r="BG10" s="11">
        <f>SUM(BG12:BG39)</f>
        <v>10664548.544969998</v>
      </c>
      <c r="BI10" s="3">
        <v>11655752171.628998</v>
      </c>
      <c r="BJ10" s="285">
        <f>SUM(BJ12:BJ39)</f>
        <v>720965980.0389999</v>
      </c>
      <c r="BK10" s="11">
        <f>SUM(BK12:BK39)</f>
        <v>10864933846.290003</v>
      </c>
      <c r="BL10" s="11">
        <f>SUM(BL12:BL39)</f>
        <v>10864933.846289998</v>
      </c>
    </row>
    <row r="11" spans="2:62" ht="12.75">
      <c r="B11" s="89"/>
      <c r="C11" s="89"/>
      <c r="D11" s="89"/>
      <c r="E11" s="89"/>
      <c r="F11" s="89"/>
      <c r="G11" s="89"/>
      <c r="H11" s="89"/>
      <c r="I11" s="89"/>
      <c r="J11" s="89"/>
      <c r="K11" s="89"/>
      <c r="M11" s="14"/>
      <c r="N11" s="14"/>
      <c r="O11" s="14"/>
      <c r="T11" s="14"/>
      <c r="U11" s="89"/>
      <c r="V11" s="89"/>
      <c r="W11" s="89"/>
      <c r="X11" s="202"/>
      <c r="Y11" s="89"/>
      <c r="Z11" s="89"/>
      <c r="AA11" s="89"/>
      <c r="AB11" s="89"/>
      <c r="AC11" s="89"/>
      <c r="AD11" s="89"/>
      <c r="AF11" s="41"/>
      <c r="BJ11" s="128"/>
    </row>
    <row r="12" spans="1:64" ht="12.75">
      <c r="A12" s="1" t="s">
        <v>6</v>
      </c>
      <c r="B12" s="14">
        <v>71944</v>
      </c>
      <c r="C12" s="14">
        <v>78069</v>
      </c>
      <c r="D12" s="14">
        <v>81729</v>
      </c>
      <c r="E12" s="14">
        <v>84276</v>
      </c>
      <c r="F12" s="14">
        <v>87878</v>
      </c>
      <c r="G12" s="14">
        <v>95611.442</v>
      </c>
      <c r="H12" s="14">
        <v>104076.87293000003</v>
      </c>
      <c r="I12" s="14">
        <v>110848.61780999997</v>
      </c>
      <c r="J12" s="14">
        <v>118831.33620999998</v>
      </c>
      <c r="K12" s="14">
        <v>118163.02380000002</v>
      </c>
      <c r="L12" s="244">
        <f>(K12-J12)*100/J12</f>
        <v>-0.5624041867364904</v>
      </c>
      <c r="M12" s="244">
        <f>(K12-AC12)*100/AC12</f>
        <v>65.68471325612052</v>
      </c>
      <c r="N12" s="14">
        <v>30946</v>
      </c>
      <c r="O12" s="14">
        <v>33158</v>
      </c>
      <c r="P12" s="14">
        <v>35067</v>
      </c>
      <c r="Q12" s="14">
        <v>37547</v>
      </c>
      <c r="R12" s="14">
        <v>40551</v>
      </c>
      <c r="S12" s="14">
        <f>48947-6071</f>
        <v>42876</v>
      </c>
      <c r="T12" s="14">
        <f>51893-6363</f>
        <v>45530</v>
      </c>
      <c r="U12" s="14">
        <v>47866</v>
      </c>
      <c r="V12" s="14">
        <f>55236.735-5910.296</f>
        <v>49326.439</v>
      </c>
      <c r="W12" s="14">
        <v>53965</v>
      </c>
      <c r="X12" s="203">
        <v>57062</v>
      </c>
      <c r="Y12" s="14">
        <f>64631.819-5338.742</f>
        <v>59293.077000000005</v>
      </c>
      <c r="Z12" s="14">
        <v>60253</v>
      </c>
      <c r="AA12" s="14">
        <v>64812</v>
      </c>
      <c r="AB12" s="14">
        <v>68394</v>
      </c>
      <c r="AC12" s="14">
        <v>71318</v>
      </c>
      <c r="AD12" s="14"/>
      <c r="AE12" s="30">
        <v>88351428</v>
      </c>
      <c r="AF12" s="156">
        <v>4075912</v>
      </c>
      <c r="AG12" s="3">
        <f>AE12-AF12</f>
        <v>84275516</v>
      </c>
      <c r="AH12" s="3">
        <f>AG12/1000</f>
        <v>84275.516</v>
      </c>
      <c r="AJ12" s="3">
        <v>92084584</v>
      </c>
      <c r="AK12" s="3">
        <v>4206214</v>
      </c>
      <c r="AL12" s="3">
        <f>AJ12-AK12</f>
        <v>87878370</v>
      </c>
      <c r="AM12" s="3">
        <f>AL12/1000</f>
        <v>87878.37</v>
      </c>
      <c r="AO12" s="3">
        <v>99934865</v>
      </c>
      <c r="AP12" s="3">
        <v>4323423</v>
      </c>
      <c r="AQ12" s="3">
        <f>AO12-AP12</f>
        <v>95611442</v>
      </c>
      <c r="AR12" s="3">
        <f>AQ12/1000</f>
        <v>95611.442</v>
      </c>
      <c r="AT12" s="3">
        <v>108900679.93000002</v>
      </c>
      <c r="AU12" s="3">
        <v>4823807</v>
      </c>
      <c r="AV12" s="3">
        <f>AT12-AU12</f>
        <v>104076872.93000002</v>
      </c>
      <c r="AW12" s="3">
        <f>AV12/1000</f>
        <v>104076.87293000003</v>
      </c>
      <c r="AY12" s="3">
        <v>116990742.80999997</v>
      </c>
      <c r="AZ12" s="3">
        <v>6142125</v>
      </c>
      <c r="BA12" s="3">
        <f>AY12-AZ12</f>
        <v>110848617.80999997</v>
      </c>
      <c r="BB12" s="3">
        <f>BA12/1000</f>
        <v>110848.61780999997</v>
      </c>
      <c r="BD12" s="3">
        <v>125587396.20999998</v>
      </c>
      <c r="BE12" s="3">
        <v>6756060</v>
      </c>
      <c r="BF12" s="3">
        <f>BD12-BE12</f>
        <v>118831336.20999998</v>
      </c>
      <c r="BG12" s="3">
        <f>BF12/1000</f>
        <v>118831.33620999998</v>
      </c>
      <c r="BI12" s="3">
        <v>125636196.96000002</v>
      </c>
      <c r="BJ12" s="286">
        <v>7473173.16</v>
      </c>
      <c r="BK12" s="3">
        <f>BI12-BJ12</f>
        <v>118163023.80000003</v>
      </c>
      <c r="BL12" s="3">
        <f>BK12/1000</f>
        <v>118163.02380000002</v>
      </c>
    </row>
    <row r="13" spans="1:64" ht="12.75">
      <c r="A13" s="1" t="s">
        <v>7</v>
      </c>
      <c r="B13" s="14">
        <v>538320</v>
      </c>
      <c r="C13" s="14">
        <v>575270</v>
      </c>
      <c r="D13" s="14">
        <v>600637</v>
      </c>
      <c r="E13" s="14">
        <v>617259</v>
      </c>
      <c r="F13" s="14">
        <v>652008</v>
      </c>
      <c r="G13" s="14">
        <v>700719.83</v>
      </c>
      <c r="H13" s="14">
        <v>768465.0737400001</v>
      </c>
      <c r="I13" s="14">
        <v>821955.0598500001</v>
      </c>
      <c r="J13" s="14">
        <v>865887.0531499998</v>
      </c>
      <c r="K13" s="14">
        <v>884154.92631</v>
      </c>
      <c r="L13" s="244">
        <f>(K13-J13)*100/J13</f>
        <v>2.1097293340446335</v>
      </c>
      <c r="M13" s="244">
        <f>(K13-AC13)*100/AC13</f>
        <v>80.23379939456946</v>
      </c>
      <c r="N13" s="14">
        <v>189735</v>
      </c>
      <c r="O13" s="14">
        <v>204413</v>
      </c>
      <c r="P13" s="14">
        <v>221911</v>
      </c>
      <c r="Q13" s="14">
        <v>246541</v>
      </c>
      <c r="R13" s="14">
        <f>308468-37867</f>
        <v>270601</v>
      </c>
      <c r="S13" s="14">
        <f>340737-40924</f>
        <v>299813</v>
      </c>
      <c r="T13" s="14">
        <f>374725-46341</f>
        <v>328384</v>
      </c>
      <c r="U13" s="14">
        <v>328395</v>
      </c>
      <c r="V13" s="14">
        <f>391070.31-46271.804</f>
        <v>344798.506</v>
      </c>
      <c r="W13" s="14">
        <v>374725</v>
      </c>
      <c r="X13" s="203">
        <v>399666</v>
      </c>
      <c r="Y13" s="14">
        <f>448631.679-38666.806</f>
        <v>409964.873</v>
      </c>
      <c r="Z13" s="14">
        <v>416830</v>
      </c>
      <c r="AA13" s="14">
        <v>436234</v>
      </c>
      <c r="AB13" s="14">
        <v>455369</v>
      </c>
      <c r="AC13" s="14">
        <v>490560</v>
      </c>
      <c r="AD13" s="14"/>
      <c r="AE13" s="30">
        <v>648678816</v>
      </c>
      <c r="AF13" s="156">
        <v>31419929</v>
      </c>
      <c r="AG13" s="3">
        <f>AE13-AF13</f>
        <v>617258887</v>
      </c>
      <c r="AH13" s="3">
        <f>AG13/1000</f>
        <v>617258.887</v>
      </c>
      <c r="AJ13" s="3">
        <v>684197237</v>
      </c>
      <c r="AK13" s="3">
        <v>32189217</v>
      </c>
      <c r="AL13" s="3">
        <f>AJ13-AK13</f>
        <v>652008020</v>
      </c>
      <c r="AM13" s="3">
        <f>AL13/1000</f>
        <v>652008.02</v>
      </c>
      <c r="AO13" s="3">
        <v>732747201</v>
      </c>
      <c r="AP13" s="3">
        <v>32027371</v>
      </c>
      <c r="AQ13" s="3">
        <f>AO13-AP13</f>
        <v>700719830</v>
      </c>
      <c r="AR13" s="3">
        <f>AQ13/1000</f>
        <v>700719.83</v>
      </c>
      <c r="AT13" s="3">
        <v>803676339.7400001</v>
      </c>
      <c r="AU13" s="3">
        <v>35211266</v>
      </c>
      <c r="AV13" s="3">
        <f>AT13-AU13</f>
        <v>768465073.7400001</v>
      </c>
      <c r="AW13" s="3">
        <f>AV13/1000</f>
        <v>768465.0737400001</v>
      </c>
      <c r="AY13" s="3">
        <v>866746230.85</v>
      </c>
      <c r="AZ13" s="3">
        <v>44791171</v>
      </c>
      <c r="BA13" s="3">
        <f>AY13-AZ13</f>
        <v>821955059.85</v>
      </c>
      <c r="BB13" s="3">
        <f>BA13/1000</f>
        <v>821955.0598500001</v>
      </c>
      <c r="BD13" s="3">
        <v>916446315.1499999</v>
      </c>
      <c r="BE13" s="3">
        <v>50559262</v>
      </c>
      <c r="BF13" s="3">
        <f>BD13-BE13</f>
        <v>865887053.1499999</v>
      </c>
      <c r="BG13" s="3">
        <f>BF13/1000</f>
        <v>865887.0531499998</v>
      </c>
      <c r="BI13" s="3">
        <v>943898410.659</v>
      </c>
      <c r="BJ13" s="286">
        <v>59743484.349</v>
      </c>
      <c r="BK13" s="3">
        <f>BI13-BJ13</f>
        <v>884154926.3100001</v>
      </c>
      <c r="BL13" s="3">
        <f>BK13/1000</f>
        <v>884154.92631</v>
      </c>
    </row>
    <row r="14" spans="1:64" ht="12.75">
      <c r="A14" s="1" t="s">
        <v>8</v>
      </c>
      <c r="B14" s="14">
        <v>849577</v>
      </c>
      <c r="C14" s="14">
        <v>879095</v>
      </c>
      <c r="D14" s="14">
        <v>909363</v>
      </c>
      <c r="E14" s="14">
        <v>855473</v>
      </c>
      <c r="F14" s="14">
        <v>854376</v>
      </c>
      <c r="G14" s="14">
        <v>943473.948</v>
      </c>
      <c r="H14" s="14">
        <v>1059218.1113900002</v>
      </c>
      <c r="I14" s="14">
        <v>1137216.4451699997</v>
      </c>
      <c r="J14" s="14">
        <v>1171321.9521399997</v>
      </c>
      <c r="K14" s="14">
        <v>1200529.92909</v>
      </c>
      <c r="L14" s="244">
        <f>(K14-J14)*100/J14</f>
        <v>2.4935908438015217</v>
      </c>
      <c r="M14" s="244">
        <f>(K14-AC14)*100/AC14</f>
        <v>53.998990352373745</v>
      </c>
      <c r="N14" s="14">
        <v>301380</v>
      </c>
      <c r="O14" s="14">
        <v>321373</v>
      </c>
      <c r="P14" s="14">
        <v>340361</v>
      </c>
      <c r="Q14" s="14">
        <v>372192</v>
      </c>
      <c r="R14" s="14">
        <f>459884-47170</f>
        <v>412714</v>
      </c>
      <c r="S14" s="14">
        <f>499758-54991</f>
        <v>444767</v>
      </c>
      <c r="T14" s="14">
        <f>544301-59177</f>
        <v>485124</v>
      </c>
      <c r="U14" s="14">
        <v>514518</v>
      </c>
      <c r="V14" s="14">
        <f>611921.819-58505.237</f>
        <v>553416.582</v>
      </c>
      <c r="W14" s="14">
        <v>587715</v>
      </c>
      <c r="X14" s="203">
        <v>604889</v>
      </c>
      <c r="Y14" s="14">
        <f>679601.035-52772.742</f>
        <v>626828.2930000001</v>
      </c>
      <c r="Z14" s="14">
        <v>658450</v>
      </c>
      <c r="AA14" s="14">
        <v>711511</v>
      </c>
      <c r="AB14" s="14">
        <v>754773</v>
      </c>
      <c r="AC14" s="14">
        <v>779570</v>
      </c>
      <c r="AD14" s="14"/>
      <c r="AE14" s="30">
        <v>899119516</v>
      </c>
      <c r="AF14" s="156">
        <v>43646985</v>
      </c>
      <c r="AG14" s="3">
        <f>AE14-AF14</f>
        <v>855472531</v>
      </c>
      <c r="AH14" s="3">
        <f>AG14/1000</f>
        <v>855472.531</v>
      </c>
      <c r="AJ14" s="3">
        <v>900715286</v>
      </c>
      <c r="AK14" s="3">
        <v>46339455</v>
      </c>
      <c r="AL14" s="3">
        <f>AJ14-AK14</f>
        <v>854375831</v>
      </c>
      <c r="AM14" s="3">
        <f>AL14/1000</f>
        <v>854375.831</v>
      </c>
      <c r="AO14" s="3">
        <v>985440128</v>
      </c>
      <c r="AP14" s="3">
        <v>41966180</v>
      </c>
      <c r="AQ14" s="3">
        <f>AO14-AP14</f>
        <v>943473948</v>
      </c>
      <c r="AR14" s="3">
        <f>AQ14/1000</f>
        <v>943473.948</v>
      </c>
      <c r="AT14" s="3">
        <v>1101846139.39</v>
      </c>
      <c r="AU14" s="3">
        <v>42628028</v>
      </c>
      <c r="AV14" s="3">
        <f>AT14-AU14</f>
        <v>1059218111.3900001</v>
      </c>
      <c r="AW14" s="3">
        <f>AV14/1000</f>
        <v>1059218.1113900002</v>
      </c>
      <c r="AY14" s="3">
        <v>1190912323.1699998</v>
      </c>
      <c r="AZ14" s="3">
        <v>53695878</v>
      </c>
      <c r="BA14" s="3">
        <f>AY14-AZ14</f>
        <v>1137216445.1699998</v>
      </c>
      <c r="BB14" s="3">
        <f>BA14/1000</f>
        <v>1137216.4451699997</v>
      </c>
      <c r="BD14" s="3">
        <v>1232127440.1399996</v>
      </c>
      <c r="BE14" s="3">
        <v>60805488</v>
      </c>
      <c r="BF14" s="3">
        <f>BD14-BE14</f>
        <v>1171321952.1399996</v>
      </c>
      <c r="BG14" s="3">
        <f>BF14/1000</f>
        <v>1171321.9521399997</v>
      </c>
      <c r="BI14" s="3">
        <v>1268486680.76</v>
      </c>
      <c r="BJ14" s="286">
        <v>67956751.67</v>
      </c>
      <c r="BK14" s="3">
        <f>BI14-BJ14</f>
        <v>1200529929.09</v>
      </c>
      <c r="BL14" s="3">
        <f>BK14/1000</f>
        <v>1200529.92909</v>
      </c>
    </row>
    <row r="15" spans="1:64" ht="12.75">
      <c r="A15" s="1" t="s">
        <v>9</v>
      </c>
      <c r="B15" s="14">
        <v>816965</v>
      </c>
      <c r="C15" s="14">
        <v>860910</v>
      </c>
      <c r="D15" s="14">
        <v>899691</v>
      </c>
      <c r="E15" s="14">
        <v>932810</v>
      </c>
      <c r="F15" s="14">
        <v>987324</v>
      </c>
      <c r="G15" s="14">
        <v>1056945.45</v>
      </c>
      <c r="H15" s="14">
        <v>1139137.3277800002</v>
      </c>
      <c r="I15" s="14">
        <v>1197282.4049500006</v>
      </c>
      <c r="J15" s="14">
        <v>1227006.42936</v>
      </c>
      <c r="K15" s="14">
        <v>1281027.1195900005</v>
      </c>
      <c r="L15" s="244">
        <f>(K15-J15)*100/J15</f>
        <v>4.4026411710146816</v>
      </c>
      <c r="M15" s="244">
        <f>(K15-AC15)*100/AC15</f>
        <v>73.66656719438863</v>
      </c>
      <c r="N15" s="14">
        <v>294797</v>
      </c>
      <c r="O15" s="14">
        <v>308464</v>
      </c>
      <c r="P15" s="14">
        <v>332002</v>
      </c>
      <c r="Q15" s="14">
        <v>354207</v>
      </c>
      <c r="R15" s="14">
        <f>461067-65487</f>
        <v>395580</v>
      </c>
      <c r="S15" s="14">
        <f>500408-66166</f>
        <v>434242</v>
      </c>
      <c r="T15" s="14">
        <f>528024-69927</f>
        <v>458097</v>
      </c>
      <c r="U15" s="14">
        <v>475747</v>
      </c>
      <c r="V15" s="14">
        <f>562745.105-66134.198</f>
        <v>496610.907</v>
      </c>
      <c r="W15" s="14">
        <v>534777</v>
      </c>
      <c r="X15" s="203">
        <v>579938</v>
      </c>
      <c r="Y15" s="14">
        <f>654056.579-53930.669</f>
        <v>600125.91</v>
      </c>
      <c r="Z15" s="14">
        <v>631823</v>
      </c>
      <c r="AA15" s="14">
        <v>671462</v>
      </c>
      <c r="AB15" s="14">
        <v>702432</v>
      </c>
      <c r="AC15" s="14">
        <v>737636</v>
      </c>
      <c r="AD15" s="14"/>
      <c r="AE15" s="30">
        <v>981049114</v>
      </c>
      <c r="AF15" s="156">
        <v>48239310</v>
      </c>
      <c r="AG15" s="3">
        <f>AE15-AF15</f>
        <v>932809804</v>
      </c>
      <c r="AH15" s="3">
        <f>AG15/1000</f>
        <v>932809.804</v>
      </c>
      <c r="AJ15" s="3">
        <v>1036800176</v>
      </c>
      <c r="AK15" s="3">
        <v>49476521</v>
      </c>
      <c r="AL15" s="3">
        <f>AJ15-AK15</f>
        <v>987323655</v>
      </c>
      <c r="AM15" s="3">
        <f>AL15/1000</f>
        <v>987323.655</v>
      </c>
      <c r="AO15" s="3">
        <v>1106375967</v>
      </c>
      <c r="AP15" s="3">
        <v>49430517</v>
      </c>
      <c r="AQ15" s="3">
        <f>AO15-AP15</f>
        <v>1056945450</v>
      </c>
      <c r="AR15" s="3">
        <f>AQ15/1000</f>
        <v>1056945.45</v>
      </c>
      <c r="AT15" s="3">
        <v>1194033158.7800002</v>
      </c>
      <c r="AU15" s="3">
        <v>54895831</v>
      </c>
      <c r="AV15" s="3">
        <f>AT15-AU15</f>
        <v>1139137327.7800002</v>
      </c>
      <c r="AW15" s="3">
        <f>AV15/1000</f>
        <v>1139137.3277800002</v>
      </c>
      <c r="AY15" s="3">
        <v>1265861138.9500005</v>
      </c>
      <c r="AZ15" s="3">
        <v>68578734</v>
      </c>
      <c r="BA15" s="3">
        <f>AY15-AZ15</f>
        <v>1197282404.9500005</v>
      </c>
      <c r="BB15" s="3">
        <f>BA15/1000</f>
        <v>1197282.4049500006</v>
      </c>
      <c r="BD15" s="3">
        <v>1299987371.36</v>
      </c>
      <c r="BE15" s="3">
        <v>72980942</v>
      </c>
      <c r="BF15" s="3">
        <f>BD15-BE15</f>
        <v>1227006429.36</v>
      </c>
      <c r="BG15" s="3">
        <f>BF15/1000</f>
        <v>1227006.42936</v>
      </c>
      <c r="BI15" s="3">
        <v>1362483504.9500003</v>
      </c>
      <c r="BJ15" s="286">
        <v>81456385.36</v>
      </c>
      <c r="BK15" s="3">
        <f>BI15-BJ15</f>
        <v>1281027119.5900004</v>
      </c>
      <c r="BL15" s="3">
        <f>BK15/1000</f>
        <v>1281027.1195900005</v>
      </c>
    </row>
    <row r="16" spans="1:64" ht="12.75">
      <c r="A16" s="1" t="s">
        <v>10</v>
      </c>
      <c r="B16" s="14">
        <v>108648</v>
      </c>
      <c r="C16" s="14">
        <v>119737</v>
      </c>
      <c r="D16" s="14">
        <v>131499</v>
      </c>
      <c r="E16" s="14">
        <v>141449</v>
      </c>
      <c r="F16" s="14">
        <v>149918</v>
      </c>
      <c r="G16" s="14">
        <v>161983.14499</v>
      </c>
      <c r="H16" s="14">
        <v>171397.22809</v>
      </c>
      <c r="I16" s="14">
        <v>188003.13170000009</v>
      </c>
      <c r="J16" s="14">
        <v>195998.31253000002</v>
      </c>
      <c r="K16" s="14">
        <v>200214.65224999998</v>
      </c>
      <c r="L16" s="244">
        <f>(K16-J16)*100/J16</f>
        <v>2.151212255643576</v>
      </c>
      <c r="M16" s="244">
        <f>(K16-AC16)*100/AC16</f>
        <v>102.55825121657575</v>
      </c>
      <c r="N16" s="14">
        <v>24392</v>
      </c>
      <c r="O16" s="14">
        <v>26707</v>
      </c>
      <c r="P16" s="14">
        <v>28708</v>
      </c>
      <c r="Q16" s="14">
        <v>32353</v>
      </c>
      <c r="R16" s="14">
        <f>41752-4713</f>
        <v>37039</v>
      </c>
      <c r="S16" s="14">
        <f>46760-5068</f>
        <v>41692</v>
      </c>
      <c r="T16" s="14">
        <f>52501-6515</f>
        <v>45986</v>
      </c>
      <c r="U16" s="14">
        <v>52597</v>
      </c>
      <c r="V16" s="14">
        <f>64505.131-6887.743</f>
        <v>57617.388</v>
      </c>
      <c r="W16" s="14">
        <v>62900</v>
      </c>
      <c r="X16" s="203">
        <v>67487</v>
      </c>
      <c r="Y16" s="14">
        <f>78368.169-6438.661</f>
        <v>71929.508</v>
      </c>
      <c r="Z16" s="14">
        <v>77277</v>
      </c>
      <c r="AA16" s="14">
        <v>83216</v>
      </c>
      <c r="AB16" s="14">
        <v>91661</v>
      </c>
      <c r="AC16" s="14">
        <v>98843</v>
      </c>
      <c r="AD16" s="14"/>
      <c r="AE16" s="30">
        <v>148437645</v>
      </c>
      <c r="AF16" s="156">
        <v>6988324</v>
      </c>
      <c r="AG16" s="3">
        <f>AE16-AF16</f>
        <v>141449321</v>
      </c>
      <c r="AH16" s="3">
        <f>AG16/1000</f>
        <v>141449.321</v>
      </c>
      <c r="AJ16" s="3">
        <v>157586683</v>
      </c>
      <c r="AK16" s="3">
        <v>7669075</v>
      </c>
      <c r="AL16" s="3">
        <f>AJ16-AK16</f>
        <v>149917608</v>
      </c>
      <c r="AM16" s="3">
        <f>AL16/1000</f>
        <v>149917.608</v>
      </c>
      <c r="AO16" s="3">
        <v>170257953.99</v>
      </c>
      <c r="AP16" s="3">
        <v>8274809</v>
      </c>
      <c r="AQ16" s="3">
        <f>AO16-AP16</f>
        <v>161983144.99</v>
      </c>
      <c r="AR16" s="3">
        <f>AQ16/1000</f>
        <v>161983.14499</v>
      </c>
      <c r="AT16" s="3">
        <v>180564762.09</v>
      </c>
      <c r="AU16" s="3">
        <v>9167534</v>
      </c>
      <c r="AV16" s="3">
        <f>AT16-AU16</f>
        <v>171397228.09</v>
      </c>
      <c r="AW16" s="3">
        <f>AV16/1000</f>
        <v>171397.22809</v>
      </c>
      <c r="AY16" s="3">
        <v>199699758.70000008</v>
      </c>
      <c r="AZ16" s="3">
        <v>11696627</v>
      </c>
      <c r="BA16" s="3">
        <f>AY16-AZ16</f>
        <v>188003131.70000008</v>
      </c>
      <c r="BB16" s="3">
        <f>BA16/1000</f>
        <v>188003.13170000009</v>
      </c>
      <c r="BD16" s="3">
        <v>208384233.53000003</v>
      </c>
      <c r="BE16" s="3">
        <v>12385921</v>
      </c>
      <c r="BF16" s="3">
        <f>BD16-BE16</f>
        <v>195998312.53000003</v>
      </c>
      <c r="BG16" s="3">
        <f>BF16/1000</f>
        <v>195998.31253000002</v>
      </c>
      <c r="BI16" s="3">
        <v>214887178.28999996</v>
      </c>
      <c r="BJ16" s="286">
        <v>14672526.04</v>
      </c>
      <c r="BK16" s="3">
        <f>BI16-BJ16</f>
        <v>200214652.24999997</v>
      </c>
      <c r="BL16" s="3">
        <f>BK16/1000</f>
        <v>200214.65224999998</v>
      </c>
    </row>
    <row r="17" spans="2:62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44"/>
      <c r="M17" s="2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203"/>
      <c r="Y17" s="14"/>
      <c r="Z17" s="14"/>
      <c r="AA17" s="14"/>
      <c r="AB17" s="14"/>
      <c r="AC17" s="14"/>
      <c r="AD17" s="14"/>
      <c r="AE17" s="30"/>
      <c r="AF17" s="156"/>
      <c r="BJ17" s="286"/>
    </row>
    <row r="18" spans="1:64" ht="12.75">
      <c r="A18" s="1" t="s">
        <v>11</v>
      </c>
      <c r="B18" s="14">
        <v>35108</v>
      </c>
      <c r="C18" s="14">
        <v>37657</v>
      </c>
      <c r="D18" s="14">
        <v>40627</v>
      </c>
      <c r="E18" s="14">
        <v>42949</v>
      </c>
      <c r="F18" s="14">
        <v>44184</v>
      </c>
      <c r="G18" s="14">
        <v>47841.109</v>
      </c>
      <c r="H18" s="14">
        <v>52542.93161</v>
      </c>
      <c r="I18" s="14">
        <v>57244.38031999998</v>
      </c>
      <c r="J18" s="14">
        <v>58246.37576000001</v>
      </c>
      <c r="K18" s="14">
        <v>59805.33856</v>
      </c>
      <c r="L18" s="244">
        <f>(K18-J18)*100/J18</f>
        <v>2.676497515353711</v>
      </c>
      <c r="M18" s="244">
        <f>(K18-AC18)*100/AC18</f>
        <v>77.57984013302452</v>
      </c>
      <c r="N18" s="14">
        <v>11015</v>
      </c>
      <c r="O18" s="14">
        <v>11674</v>
      </c>
      <c r="P18" s="14">
        <v>12896</v>
      </c>
      <c r="Q18" s="14">
        <v>14752</v>
      </c>
      <c r="R18" s="14">
        <f>18478-2171</f>
        <v>16307</v>
      </c>
      <c r="S18" s="14">
        <f>20032-2321</f>
        <v>17711</v>
      </c>
      <c r="T18" s="14">
        <f>22240-2563</f>
        <v>19677</v>
      </c>
      <c r="U18" s="14">
        <v>20656</v>
      </c>
      <c r="V18" s="14">
        <f>24789.461-2855.428</f>
        <v>21934.033</v>
      </c>
      <c r="W18" s="14">
        <v>24427</v>
      </c>
      <c r="X18" s="203">
        <v>26372</v>
      </c>
      <c r="Y18" s="14">
        <f>30139.155-2541.162</f>
        <v>27597.993</v>
      </c>
      <c r="Z18" s="14">
        <v>29399</v>
      </c>
      <c r="AA18" s="14">
        <v>31017</v>
      </c>
      <c r="AB18" s="14">
        <v>33334</v>
      </c>
      <c r="AC18" s="14">
        <v>33678</v>
      </c>
      <c r="AD18" s="14"/>
      <c r="AE18" s="30">
        <v>45171693</v>
      </c>
      <c r="AF18" s="156">
        <v>2223099</v>
      </c>
      <c r="AG18" s="3">
        <f>AE18-AF18</f>
        <v>42948594</v>
      </c>
      <c r="AH18" s="3">
        <f>AG18/1000</f>
        <v>42948.594</v>
      </c>
      <c r="AJ18" s="3">
        <v>46535839</v>
      </c>
      <c r="AK18" s="3">
        <v>2351696</v>
      </c>
      <c r="AL18" s="3">
        <f>AJ18-AK18</f>
        <v>44184143</v>
      </c>
      <c r="AM18" s="3">
        <f>AL18/1000</f>
        <v>44184.143</v>
      </c>
      <c r="AO18" s="3">
        <v>50262294</v>
      </c>
      <c r="AP18" s="3">
        <v>2421185</v>
      </c>
      <c r="AQ18" s="3">
        <f>AO18-AP18</f>
        <v>47841109</v>
      </c>
      <c r="AR18" s="3">
        <f>AQ18/1000</f>
        <v>47841.109</v>
      </c>
      <c r="AT18" s="3">
        <v>55206038.61</v>
      </c>
      <c r="AU18" s="3">
        <v>2663107</v>
      </c>
      <c r="AV18" s="3">
        <f>AT18-AU18</f>
        <v>52542931.61</v>
      </c>
      <c r="AW18" s="3">
        <f>AV18/1000</f>
        <v>52542.93161</v>
      </c>
      <c r="AY18" s="3">
        <v>60569133.319999985</v>
      </c>
      <c r="AZ18" s="3">
        <v>3324753</v>
      </c>
      <c r="BA18" s="3">
        <f>AY18-AZ18</f>
        <v>57244380.319999985</v>
      </c>
      <c r="BB18" s="3">
        <f>BA18/1000</f>
        <v>57244.38031999998</v>
      </c>
      <c r="BD18" s="3">
        <v>61942908.76000001</v>
      </c>
      <c r="BE18" s="3">
        <v>3696533</v>
      </c>
      <c r="BF18" s="3">
        <f>BD18-BE18</f>
        <v>58246375.76000001</v>
      </c>
      <c r="BG18" s="3">
        <f>BF18/1000</f>
        <v>58246.37576000001</v>
      </c>
      <c r="BI18" s="3">
        <v>63948514.3</v>
      </c>
      <c r="BJ18" s="286">
        <v>4143175.74</v>
      </c>
      <c r="BK18" s="3">
        <f>BI18-BJ18</f>
        <v>59805338.559999995</v>
      </c>
      <c r="BL18" s="3">
        <f>BK18/1000</f>
        <v>59805.33856</v>
      </c>
    </row>
    <row r="19" spans="1:64" ht="12.75">
      <c r="A19" s="1" t="s">
        <v>12</v>
      </c>
      <c r="B19" s="14">
        <v>184176</v>
      </c>
      <c r="C19" s="14">
        <v>196738</v>
      </c>
      <c r="D19" s="14">
        <v>211353</v>
      </c>
      <c r="E19" s="14">
        <v>225117</v>
      </c>
      <c r="F19" s="14">
        <v>241402</v>
      </c>
      <c r="G19" s="14">
        <v>262092.118</v>
      </c>
      <c r="H19" s="14">
        <v>280271.7559900001</v>
      </c>
      <c r="I19" s="14">
        <v>302650.8297100001</v>
      </c>
      <c r="J19" s="14">
        <v>319189.64642999996</v>
      </c>
      <c r="K19" s="14">
        <v>323538.58690000005</v>
      </c>
      <c r="L19" s="244">
        <f>(K19-J19)*100/J19</f>
        <v>1.3624942157871136</v>
      </c>
      <c r="M19" s="244">
        <f>(K19-AC19)*100/AC19</f>
        <v>88.82068953643778</v>
      </c>
      <c r="N19" s="14">
        <v>50291</v>
      </c>
      <c r="O19" s="14">
        <v>53702</v>
      </c>
      <c r="P19" s="14">
        <v>58866</v>
      </c>
      <c r="Q19" s="14">
        <v>68577</v>
      </c>
      <c r="R19" s="14">
        <f>88640-10473</f>
        <v>78167</v>
      </c>
      <c r="S19" s="14">
        <f>98174-11488</f>
        <v>86686</v>
      </c>
      <c r="T19" s="14">
        <f>109090-12835</f>
        <v>96255</v>
      </c>
      <c r="U19" s="14">
        <v>101848</v>
      </c>
      <c r="V19" s="14">
        <f>121435.705-14311.599</f>
        <v>107124.106</v>
      </c>
      <c r="W19" s="14">
        <v>119593</v>
      </c>
      <c r="X19" s="203">
        <v>130827</v>
      </c>
      <c r="Y19" s="14">
        <f>146305.533-11892.775</f>
        <v>134412.758</v>
      </c>
      <c r="Z19" s="14">
        <v>141117</v>
      </c>
      <c r="AA19" s="14">
        <v>149317</v>
      </c>
      <c r="AB19" s="14">
        <v>162294</v>
      </c>
      <c r="AC19" s="14">
        <v>171347</v>
      </c>
      <c r="AD19" s="14"/>
      <c r="AE19" s="30">
        <v>236000428</v>
      </c>
      <c r="AF19" s="156">
        <v>10883129</v>
      </c>
      <c r="AG19" s="3">
        <f>AE19-AF19</f>
        <v>225117299</v>
      </c>
      <c r="AH19" s="3">
        <f>AG19/1000</f>
        <v>225117.299</v>
      </c>
      <c r="AJ19" s="3">
        <v>252984688</v>
      </c>
      <c r="AK19" s="3">
        <v>11582831</v>
      </c>
      <c r="AL19" s="3">
        <f>AJ19-AK19</f>
        <v>241401857</v>
      </c>
      <c r="AM19" s="3">
        <f>AL19/1000</f>
        <v>241401.857</v>
      </c>
      <c r="AO19" s="3">
        <v>274272755</v>
      </c>
      <c r="AP19" s="3">
        <v>12180637</v>
      </c>
      <c r="AQ19" s="3">
        <f>AO19-AP19</f>
        <v>262092118</v>
      </c>
      <c r="AR19" s="3">
        <f>AQ19/1000</f>
        <v>262092.118</v>
      </c>
      <c r="AT19" s="3">
        <v>293707942.99000007</v>
      </c>
      <c r="AU19" s="3">
        <v>13436187</v>
      </c>
      <c r="AV19" s="3">
        <f>AT19-AU19</f>
        <v>280271755.99000007</v>
      </c>
      <c r="AW19" s="3">
        <f>AV19/1000</f>
        <v>280271.7559900001</v>
      </c>
      <c r="AY19" s="3">
        <v>319922122.7100001</v>
      </c>
      <c r="AZ19" s="3">
        <v>17271293</v>
      </c>
      <c r="BA19" s="3">
        <f>AY19-AZ19</f>
        <v>302650829.7100001</v>
      </c>
      <c r="BB19" s="3">
        <f>BA19/1000</f>
        <v>302650.8297100001</v>
      </c>
      <c r="BD19" s="3">
        <v>338008626.42999995</v>
      </c>
      <c r="BE19" s="3">
        <v>18818980</v>
      </c>
      <c r="BF19" s="3">
        <f>BD19-BE19</f>
        <v>319189646.42999995</v>
      </c>
      <c r="BG19" s="3">
        <f>BF19/1000</f>
        <v>319189.64642999996</v>
      </c>
      <c r="BI19" s="3">
        <v>346090282.1</v>
      </c>
      <c r="BJ19" s="286">
        <v>22551695.2</v>
      </c>
      <c r="BK19" s="3">
        <f>BI19-BJ19</f>
        <v>323538586.90000004</v>
      </c>
      <c r="BL19" s="3">
        <f>BK19/1000</f>
        <v>323538.58690000005</v>
      </c>
    </row>
    <row r="20" spans="1:64" ht="12.75">
      <c r="A20" s="1" t="s">
        <v>13</v>
      </c>
      <c r="B20" s="14">
        <v>104037</v>
      </c>
      <c r="C20" s="14">
        <v>111201</v>
      </c>
      <c r="D20" s="14">
        <v>118455</v>
      </c>
      <c r="E20" s="14">
        <v>125725</v>
      </c>
      <c r="F20" s="14">
        <v>134957</v>
      </c>
      <c r="G20" s="14">
        <v>148570.546</v>
      </c>
      <c r="H20" s="14">
        <v>157701.09871</v>
      </c>
      <c r="I20" s="14">
        <v>170351.90718</v>
      </c>
      <c r="J20" s="14">
        <v>176412.0256</v>
      </c>
      <c r="K20" s="14">
        <v>179936.81609999994</v>
      </c>
      <c r="L20" s="244">
        <f>(K20-J20)*100/J20</f>
        <v>1.9980443442059455</v>
      </c>
      <c r="M20" s="244">
        <f>(K20-AC20)*100/AC20</f>
        <v>89.58079093485607</v>
      </c>
      <c r="N20" s="14">
        <v>31444</v>
      </c>
      <c r="O20" s="14">
        <v>34049</v>
      </c>
      <c r="P20" s="14">
        <v>36341</v>
      </c>
      <c r="Q20" s="14">
        <v>40893</v>
      </c>
      <c r="R20" s="14">
        <f>50352-5452</f>
        <v>44900</v>
      </c>
      <c r="S20" s="14">
        <f>57080-6444</f>
        <v>50636</v>
      </c>
      <c r="T20" s="14">
        <f>61594-7190</f>
        <v>54404</v>
      </c>
      <c r="U20" s="14">
        <v>57487</v>
      </c>
      <c r="V20" s="14">
        <f>66611.725-7921.726</f>
        <v>58689.999</v>
      </c>
      <c r="W20" s="14">
        <v>66833</v>
      </c>
      <c r="X20" s="203">
        <v>71710</v>
      </c>
      <c r="Y20" s="14">
        <f>81431.025-6937.498</f>
        <v>74493.527</v>
      </c>
      <c r="Z20" s="14">
        <v>76639</v>
      </c>
      <c r="AA20" s="14">
        <v>82545</v>
      </c>
      <c r="AB20" s="14">
        <v>89503</v>
      </c>
      <c r="AC20" s="14">
        <v>94913</v>
      </c>
      <c r="AD20" s="14"/>
      <c r="AE20" s="30">
        <v>132195637</v>
      </c>
      <c r="AF20" s="156">
        <v>6470587</v>
      </c>
      <c r="AG20" s="3">
        <f>AE20-AF20</f>
        <v>125725050</v>
      </c>
      <c r="AH20" s="3">
        <f>AG20/1000</f>
        <v>125725.05</v>
      </c>
      <c r="AJ20" s="3">
        <v>141782842</v>
      </c>
      <c r="AK20" s="3">
        <v>6826204</v>
      </c>
      <c r="AL20" s="3">
        <f>AJ20-AK20</f>
        <v>134956638</v>
      </c>
      <c r="AM20" s="3">
        <f>AL20/1000</f>
        <v>134956.638</v>
      </c>
      <c r="AO20" s="3">
        <v>155694308</v>
      </c>
      <c r="AP20" s="3">
        <v>7123762</v>
      </c>
      <c r="AQ20" s="3">
        <f>AO20-AP20</f>
        <v>148570546</v>
      </c>
      <c r="AR20" s="3">
        <f>AQ20/1000</f>
        <v>148570.546</v>
      </c>
      <c r="AT20" s="3">
        <v>165640054.70999998</v>
      </c>
      <c r="AU20" s="3">
        <v>7938956</v>
      </c>
      <c r="AV20" s="3">
        <f>AT20-AU20</f>
        <v>157701098.70999998</v>
      </c>
      <c r="AW20" s="3">
        <f>AV20/1000</f>
        <v>157701.09871</v>
      </c>
      <c r="AY20" s="3">
        <v>180576253.18</v>
      </c>
      <c r="AZ20" s="3">
        <v>10224346</v>
      </c>
      <c r="BA20" s="3">
        <f>AY20-AZ20</f>
        <v>170351907.18</v>
      </c>
      <c r="BB20" s="3">
        <f>BA20/1000</f>
        <v>170351.90718</v>
      </c>
      <c r="BD20" s="3">
        <v>187488918.6</v>
      </c>
      <c r="BE20" s="3">
        <v>11076893</v>
      </c>
      <c r="BF20" s="3">
        <f>BD20-BE20</f>
        <v>176412025.6</v>
      </c>
      <c r="BG20" s="3">
        <f>BF20/1000</f>
        <v>176412.0256</v>
      </c>
      <c r="BI20" s="3">
        <v>192444629.39999995</v>
      </c>
      <c r="BJ20" s="286">
        <v>12507813.3</v>
      </c>
      <c r="BK20" s="3">
        <f>BI20-BJ20</f>
        <v>179936816.09999993</v>
      </c>
      <c r="BL20" s="3">
        <f>BK20/1000</f>
        <v>179936.81609999994</v>
      </c>
    </row>
    <row r="21" spans="1:64" ht="12.75">
      <c r="A21" s="1" t="s">
        <v>14</v>
      </c>
      <c r="B21" s="14">
        <v>156707</v>
      </c>
      <c r="C21" s="14">
        <v>169100</v>
      </c>
      <c r="D21" s="14">
        <v>182941</v>
      </c>
      <c r="E21" s="14">
        <v>195686</v>
      </c>
      <c r="F21" s="14">
        <v>213861</v>
      </c>
      <c r="G21" s="14">
        <v>238730.337</v>
      </c>
      <c r="H21" s="14">
        <v>266538.4555600001</v>
      </c>
      <c r="I21" s="14">
        <v>294828.60644999996</v>
      </c>
      <c r="J21" s="14">
        <v>306472.51009999996</v>
      </c>
      <c r="K21" s="14">
        <v>311874.06404</v>
      </c>
      <c r="L21" s="244">
        <f>(K21-J21)*100/J21</f>
        <v>1.7624921524731791</v>
      </c>
      <c r="M21" s="244">
        <f>(K21-AC21)*100/AC21</f>
        <v>112.8063322074608</v>
      </c>
      <c r="N21" s="14">
        <v>46636</v>
      </c>
      <c r="O21" s="14">
        <v>50244</v>
      </c>
      <c r="P21" s="14">
        <v>54462</v>
      </c>
      <c r="Q21" s="14">
        <v>62048</v>
      </c>
      <c r="R21" s="14">
        <f>77762-7502</f>
        <v>70260</v>
      </c>
      <c r="S21" s="14">
        <f>89174-8406</f>
        <v>80768</v>
      </c>
      <c r="T21" s="14">
        <f>97035-9472</f>
        <v>87563</v>
      </c>
      <c r="U21" s="14">
        <v>91925</v>
      </c>
      <c r="V21" s="14">
        <f>108271.631-11727.476</f>
        <v>96544.155</v>
      </c>
      <c r="W21" s="14">
        <v>105769</v>
      </c>
      <c r="X21" s="203">
        <v>110883</v>
      </c>
      <c r="Y21" s="14">
        <f>123172.841-10571.762</f>
        <v>112601.079</v>
      </c>
      <c r="Z21" s="14">
        <v>116942</v>
      </c>
      <c r="AA21" s="14">
        <v>126279</v>
      </c>
      <c r="AB21" s="14">
        <v>134801</v>
      </c>
      <c r="AC21" s="14">
        <v>146553</v>
      </c>
      <c r="AD21" s="14"/>
      <c r="AE21" s="30">
        <v>205348618</v>
      </c>
      <c r="AF21" s="156">
        <v>9662923</v>
      </c>
      <c r="AG21" s="3">
        <f>AE21-AF21</f>
        <v>195685695</v>
      </c>
      <c r="AH21" s="3">
        <f>AG21/1000</f>
        <v>195685.695</v>
      </c>
      <c r="AJ21" s="3">
        <v>224042551</v>
      </c>
      <c r="AK21" s="3">
        <v>10181678</v>
      </c>
      <c r="AL21" s="3">
        <f>AJ21-AK21</f>
        <v>213860873</v>
      </c>
      <c r="AM21" s="3">
        <f>AL21/1000</f>
        <v>213860.873</v>
      </c>
      <c r="AO21" s="3">
        <v>249166391</v>
      </c>
      <c r="AP21" s="3">
        <v>10436054</v>
      </c>
      <c r="AQ21" s="3">
        <f>AO21-AP21</f>
        <v>238730337</v>
      </c>
      <c r="AR21" s="3">
        <f>AQ21/1000</f>
        <v>238730.337</v>
      </c>
      <c r="AT21" s="3">
        <v>278280607.56000006</v>
      </c>
      <c r="AU21" s="3">
        <v>11742152</v>
      </c>
      <c r="AV21" s="3">
        <f>AT21-AU21</f>
        <v>266538455.56000006</v>
      </c>
      <c r="AW21" s="3">
        <f>AV21/1000</f>
        <v>266538.4555600001</v>
      </c>
      <c r="AY21" s="3">
        <v>310300960.45</v>
      </c>
      <c r="AZ21" s="3">
        <v>15472354</v>
      </c>
      <c r="BA21" s="3">
        <f>AY21-AZ21</f>
        <v>294828606.45</v>
      </c>
      <c r="BB21" s="3">
        <f>BA21/1000</f>
        <v>294828.60644999996</v>
      </c>
      <c r="BD21" s="3">
        <v>323540688.09999996</v>
      </c>
      <c r="BE21" s="3">
        <v>17068178</v>
      </c>
      <c r="BF21" s="3">
        <f>BD21-BE21</f>
        <v>306472510.09999996</v>
      </c>
      <c r="BG21" s="3">
        <f>BF21/1000</f>
        <v>306472.51009999996</v>
      </c>
      <c r="BI21" s="3">
        <v>332678278.48</v>
      </c>
      <c r="BJ21" s="286">
        <v>20804214.44</v>
      </c>
      <c r="BK21" s="3">
        <f>BI21-BJ21</f>
        <v>311874064.04</v>
      </c>
      <c r="BL21" s="3">
        <f>BK21/1000</f>
        <v>311874.06404</v>
      </c>
    </row>
    <row r="22" spans="1:64" ht="12.75">
      <c r="A22" s="1" t="s">
        <v>15</v>
      </c>
      <c r="B22" s="14">
        <v>36719</v>
      </c>
      <c r="C22" s="14">
        <v>37219</v>
      </c>
      <c r="D22" s="14">
        <v>38888</v>
      </c>
      <c r="E22" s="14">
        <v>39650</v>
      </c>
      <c r="F22" s="14">
        <v>42049</v>
      </c>
      <c r="G22" s="14">
        <v>45256.364</v>
      </c>
      <c r="H22" s="14">
        <v>48622.29678999999</v>
      </c>
      <c r="I22" s="14">
        <v>53423.73624000001</v>
      </c>
      <c r="J22" s="14">
        <v>53086.437880000005</v>
      </c>
      <c r="K22" s="14">
        <v>52324.31129</v>
      </c>
      <c r="L22" s="244">
        <f>(K22-J22)*100/J22</f>
        <v>-1.43563331885776</v>
      </c>
      <c r="M22" s="244">
        <f>(K22-AC22)*100/AC22</f>
        <v>52.12324482497964</v>
      </c>
      <c r="N22" s="14">
        <v>14733</v>
      </c>
      <c r="O22" s="14">
        <v>15568</v>
      </c>
      <c r="P22" s="14">
        <v>16197</v>
      </c>
      <c r="Q22" s="14">
        <v>17989</v>
      </c>
      <c r="R22" s="14">
        <f>21924-2544</f>
        <v>19380</v>
      </c>
      <c r="S22" s="14">
        <f>24103-2679</f>
        <v>21424</v>
      </c>
      <c r="T22" s="14">
        <f>25229-2786</f>
        <v>22443</v>
      </c>
      <c r="U22" s="14">
        <v>22645</v>
      </c>
      <c r="V22" s="14">
        <f>26167.102-2746.693</f>
        <v>23420.409</v>
      </c>
      <c r="W22" s="14">
        <v>25680</v>
      </c>
      <c r="X22" s="203">
        <v>27567</v>
      </c>
      <c r="Y22" s="14">
        <f>30435.699-2600.944</f>
        <v>27834.755</v>
      </c>
      <c r="Z22" s="14">
        <v>29261</v>
      </c>
      <c r="AA22" s="14">
        <v>31395</v>
      </c>
      <c r="AB22" s="14">
        <v>31867</v>
      </c>
      <c r="AC22" s="14">
        <v>34396</v>
      </c>
      <c r="AD22" s="14"/>
      <c r="AE22" s="30">
        <v>41681758</v>
      </c>
      <c r="AF22" s="156">
        <v>2031815</v>
      </c>
      <c r="AG22" s="3">
        <f>AE22-AF22</f>
        <v>39649943</v>
      </c>
      <c r="AH22" s="3">
        <f>AG22/1000</f>
        <v>39649.943</v>
      </c>
      <c r="AJ22" s="3">
        <v>44174662</v>
      </c>
      <c r="AK22" s="3">
        <v>2125281</v>
      </c>
      <c r="AL22" s="3">
        <f>AJ22-AK22</f>
        <v>42049381</v>
      </c>
      <c r="AM22" s="3">
        <f>AL22/1000</f>
        <v>42049.381</v>
      </c>
      <c r="AO22" s="3">
        <v>47401688</v>
      </c>
      <c r="AP22" s="3">
        <v>2145324</v>
      </c>
      <c r="AQ22" s="3">
        <f>AO22-AP22</f>
        <v>45256364</v>
      </c>
      <c r="AR22" s="3">
        <f>AQ22/1000</f>
        <v>45256.364</v>
      </c>
      <c r="AT22" s="3">
        <v>51036873.78999999</v>
      </c>
      <c r="AU22" s="3">
        <v>2414577</v>
      </c>
      <c r="AV22" s="3">
        <f>AT22-AU22</f>
        <v>48622296.78999999</v>
      </c>
      <c r="AW22" s="3">
        <f>AV22/1000</f>
        <v>48622.29678999999</v>
      </c>
      <c r="AY22" s="3">
        <v>56381497.24000001</v>
      </c>
      <c r="AZ22" s="3">
        <v>2957761</v>
      </c>
      <c r="BA22" s="3">
        <f>AY22-AZ22</f>
        <v>53423736.24000001</v>
      </c>
      <c r="BB22" s="3">
        <f>BA22/1000</f>
        <v>53423.73624000001</v>
      </c>
      <c r="BD22" s="3">
        <v>56232535.88</v>
      </c>
      <c r="BE22" s="3">
        <v>3146098</v>
      </c>
      <c r="BF22" s="3">
        <f>BD22-BE22</f>
        <v>53086437.88</v>
      </c>
      <c r="BG22" s="3">
        <f>BF22/1000</f>
        <v>53086.437880000005</v>
      </c>
      <c r="BI22" s="3">
        <v>55971058.37</v>
      </c>
      <c r="BJ22" s="286">
        <v>3646747.08</v>
      </c>
      <c r="BK22" s="3">
        <f>BI22-BJ22</f>
        <v>52324311.29</v>
      </c>
      <c r="BL22" s="3">
        <f>BK22/1000</f>
        <v>52324.31129</v>
      </c>
    </row>
    <row r="23" spans="2:62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44"/>
      <c r="M23" s="24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203"/>
      <c r="Y23" s="14"/>
      <c r="Z23" s="14"/>
      <c r="AA23" s="14"/>
      <c r="AB23" s="14"/>
      <c r="AC23" s="14"/>
      <c r="AD23" s="14"/>
      <c r="AE23" s="30"/>
      <c r="AF23" s="156"/>
      <c r="BJ23" s="286"/>
    </row>
    <row r="24" spans="1:64" ht="12.75">
      <c r="A24" s="1" t="s">
        <v>16</v>
      </c>
      <c r="B24" s="14">
        <v>238743</v>
      </c>
      <c r="C24" s="14">
        <v>268350</v>
      </c>
      <c r="D24" s="14">
        <v>284094</v>
      </c>
      <c r="E24" s="14">
        <v>305763</v>
      </c>
      <c r="F24" s="14">
        <v>325488</v>
      </c>
      <c r="G24" s="14">
        <v>357570.192</v>
      </c>
      <c r="H24" s="14">
        <v>390910.99620999995</v>
      </c>
      <c r="I24" s="14">
        <v>443370.23215</v>
      </c>
      <c r="J24" s="14">
        <v>457712.33818</v>
      </c>
      <c r="K24" s="14">
        <v>455328.6400599999</v>
      </c>
      <c r="L24" s="244">
        <f>(K24-J24)*100/J24</f>
        <v>-0.5207852009142735</v>
      </c>
      <c r="M24" s="244">
        <f>(K24-AC24)*100/AC24</f>
        <v>107.40216547401596</v>
      </c>
      <c r="N24" s="14">
        <v>63811</v>
      </c>
      <c r="O24" s="14">
        <v>68834</v>
      </c>
      <c r="P24" s="14">
        <v>75672</v>
      </c>
      <c r="Q24" s="14">
        <v>86497</v>
      </c>
      <c r="R24" s="14">
        <f>111336-13200</f>
        <v>98136</v>
      </c>
      <c r="S24" s="14">
        <f>125150-14061</f>
        <v>111089</v>
      </c>
      <c r="T24" s="14">
        <f>137928-15782</f>
        <v>122146</v>
      </c>
      <c r="U24" s="14">
        <v>129420</v>
      </c>
      <c r="V24" s="14">
        <f>153328.503-17400.879</f>
        <v>135927.624</v>
      </c>
      <c r="W24" s="14">
        <v>151997</v>
      </c>
      <c r="X24" s="203">
        <v>165749</v>
      </c>
      <c r="Y24" s="14">
        <f>187782.874-15357.694</f>
        <v>172425.18000000002</v>
      </c>
      <c r="Z24" s="14">
        <v>180188</v>
      </c>
      <c r="AA24" s="14">
        <v>192451</v>
      </c>
      <c r="AB24" s="14">
        <v>206065</v>
      </c>
      <c r="AC24" s="14">
        <v>219539</v>
      </c>
      <c r="AD24" s="14"/>
      <c r="AE24" s="30">
        <v>320615931</v>
      </c>
      <c r="AF24" s="156">
        <v>14853227</v>
      </c>
      <c r="AG24" s="3">
        <f>AE24-AF24</f>
        <v>305762704</v>
      </c>
      <c r="AH24" s="3">
        <f>AG24/1000</f>
        <v>305762.704</v>
      </c>
      <c r="AJ24" s="3">
        <v>340998866</v>
      </c>
      <c r="AK24" s="3">
        <v>15511293</v>
      </c>
      <c r="AL24" s="3">
        <f>AJ24-AK24</f>
        <v>325487573</v>
      </c>
      <c r="AM24" s="3">
        <f>AL24/1000</f>
        <v>325487.573</v>
      </c>
      <c r="AO24" s="3">
        <v>374013983</v>
      </c>
      <c r="AP24" s="3">
        <v>16443791</v>
      </c>
      <c r="AQ24" s="3">
        <f>AO24-AP24</f>
        <v>357570192</v>
      </c>
      <c r="AR24" s="3">
        <f>AQ24/1000</f>
        <v>357570.192</v>
      </c>
      <c r="AT24" s="3">
        <v>409384394.21</v>
      </c>
      <c r="AU24" s="3">
        <v>18473398</v>
      </c>
      <c r="AV24" s="3">
        <f>AT24-AU24</f>
        <v>390910996.21</v>
      </c>
      <c r="AW24" s="3">
        <f>AV24/1000</f>
        <v>390910.99620999995</v>
      </c>
      <c r="AY24" s="3">
        <v>467308609.15</v>
      </c>
      <c r="AZ24" s="3">
        <v>23938377</v>
      </c>
      <c r="BA24" s="3">
        <f>AY24-AZ24</f>
        <v>443370232.15</v>
      </c>
      <c r="BB24" s="3">
        <f>BA24/1000</f>
        <v>443370.23215</v>
      </c>
      <c r="BD24" s="3">
        <v>484031918.18</v>
      </c>
      <c r="BE24" s="3">
        <v>26319580</v>
      </c>
      <c r="BF24" s="3">
        <f>BD24-BE24</f>
        <v>457712338.18</v>
      </c>
      <c r="BG24" s="3">
        <f>BF24/1000</f>
        <v>457712.33818</v>
      </c>
      <c r="BI24" s="3">
        <v>487074790.5399999</v>
      </c>
      <c r="BJ24" s="286">
        <v>31746150.48</v>
      </c>
      <c r="BK24" s="3">
        <f>BI24-BJ24</f>
        <v>455328640.0599999</v>
      </c>
      <c r="BL24" s="3">
        <f>BK24/1000</f>
        <v>455328.6400599999</v>
      </c>
    </row>
    <row r="25" spans="1:64" ht="12.75">
      <c r="A25" s="1" t="s">
        <v>17</v>
      </c>
      <c r="B25" s="14">
        <v>35532</v>
      </c>
      <c r="C25" s="14">
        <v>37498</v>
      </c>
      <c r="D25" s="14">
        <v>38822</v>
      </c>
      <c r="E25" s="14">
        <v>40756</v>
      </c>
      <c r="F25" s="14">
        <v>42272</v>
      </c>
      <c r="G25" s="14">
        <v>44416.553</v>
      </c>
      <c r="H25" s="14">
        <v>47935.845049999996</v>
      </c>
      <c r="I25" s="14">
        <v>51192.80892</v>
      </c>
      <c r="J25" s="14">
        <v>51548.93600000002</v>
      </c>
      <c r="K25" s="14">
        <v>53288.94271000001</v>
      </c>
      <c r="L25" s="244">
        <f>(K25-J25)*100/J25</f>
        <v>3.375446410765852</v>
      </c>
      <c r="M25" s="244">
        <f>(K25-AC25)*100/AC25</f>
        <v>56.79213437490809</v>
      </c>
      <c r="N25" s="14">
        <v>13340</v>
      </c>
      <c r="O25" s="14">
        <v>14570</v>
      </c>
      <c r="P25" s="14">
        <v>15879</v>
      </c>
      <c r="Q25" s="14">
        <v>17561</v>
      </c>
      <c r="R25" s="14">
        <f>21817-2546</f>
        <v>19271</v>
      </c>
      <c r="S25" s="14">
        <f>24216-2866</f>
        <v>21350</v>
      </c>
      <c r="T25" s="14">
        <f>26626-3156</f>
        <v>23470</v>
      </c>
      <c r="U25" s="14">
        <v>23266</v>
      </c>
      <c r="V25" s="14">
        <f>27069.456-3103.545</f>
        <v>23965.911</v>
      </c>
      <c r="W25" s="14">
        <v>26358</v>
      </c>
      <c r="X25" s="203">
        <v>27352</v>
      </c>
      <c r="Y25" s="14">
        <f>30506.655-2610.279</f>
        <v>27896.376</v>
      </c>
      <c r="Z25" s="14">
        <v>29326</v>
      </c>
      <c r="AA25" s="14">
        <v>30727</v>
      </c>
      <c r="AB25" s="14">
        <v>32472</v>
      </c>
      <c r="AC25" s="14">
        <v>33987</v>
      </c>
      <c r="AD25" s="14"/>
      <c r="AE25" s="30">
        <v>42861789</v>
      </c>
      <c r="AF25" s="156">
        <v>2105832</v>
      </c>
      <c r="AG25" s="3">
        <f>AE25-AF25</f>
        <v>40755957</v>
      </c>
      <c r="AH25" s="3">
        <f>AG25/1000</f>
        <v>40755.957</v>
      </c>
      <c r="AJ25" s="3">
        <v>44396694</v>
      </c>
      <c r="AK25" s="3">
        <v>2124810</v>
      </c>
      <c r="AL25" s="3">
        <f>AJ25-AK25</f>
        <v>42271884</v>
      </c>
      <c r="AM25" s="3">
        <f>AL25/1000</f>
        <v>42271.884</v>
      </c>
      <c r="AO25" s="3">
        <v>46614618</v>
      </c>
      <c r="AP25" s="3">
        <v>2198065</v>
      </c>
      <c r="AQ25" s="3">
        <f>AO25-AP25</f>
        <v>44416553</v>
      </c>
      <c r="AR25" s="3">
        <f>AQ25/1000</f>
        <v>44416.553</v>
      </c>
      <c r="AT25" s="3">
        <v>50375976.05</v>
      </c>
      <c r="AU25" s="3">
        <v>2440131</v>
      </c>
      <c r="AV25" s="3">
        <f>AT25-AU25</f>
        <v>47935845.05</v>
      </c>
      <c r="AW25" s="3">
        <f>AV25/1000</f>
        <v>47935.845049999996</v>
      </c>
      <c r="AY25" s="3">
        <v>54201104.92</v>
      </c>
      <c r="AZ25" s="3">
        <v>3008296</v>
      </c>
      <c r="BA25" s="3">
        <f>AY25-AZ25</f>
        <v>51192808.92</v>
      </c>
      <c r="BB25" s="3">
        <f>BA25/1000</f>
        <v>51192.80892</v>
      </c>
      <c r="BD25" s="3">
        <v>54809304.00000002</v>
      </c>
      <c r="BE25" s="3">
        <v>3260368</v>
      </c>
      <c r="BF25" s="3">
        <f>BD25-BE25</f>
        <v>51548936.00000002</v>
      </c>
      <c r="BG25" s="3">
        <f>BF25/1000</f>
        <v>51548.93600000002</v>
      </c>
      <c r="BI25" s="3">
        <v>56859219.120000005</v>
      </c>
      <c r="BJ25" s="286">
        <v>3570276.41</v>
      </c>
      <c r="BK25" s="3">
        <f>BI25-BJ25</f>
        <v>53288942.71000001</v>
      </c>
      <c r="BL25" s="3">
        <f>BK25/1000</f>
        <v>53288.94271000001</v>
      </c>
    </row>
    <row r="26" spans="1:64" ht="12.75">
      <c r="A26" s="1" t="s">
        <v>18</v>
      </c>
      <c r="B26" s="14">
        <v>250722</v>
      </c>
      <c r="C26" s="14">
        <v>270948</v>
      </c>
      <c r="D26" s="14">
        <v>287116</v>
      </c>
      <c r="E26" s="14">
        <v>299618</v>
      </c>
      <c r="F26" s="14">
        <v>315636</v>
      </c>
      <c r="G26" s="14">
        <v>358802.425</v>
      </c>
      <c r="H26" s="14">
        <v>396108.08735000005</v>
      </c>
      <c r="I26" s="14">
        <v>424776.1900800001</v>
      </c>
      <c r="J26" s="14">
        <v>433218.83868</v>
      </c>
      <c r="K26" s="14">
        <v>442881.79856</v>
      </c>
      <c r="L26" s="244">
        <f>(K26-J26)*100/J26</f>
        <v>2.230503158505914</v>
      </c>
      <c r="M26" s="244">
        <f>(K26-AC26)*100/AC26</f>
        <v>90.13841244000241</v>
      </c>
      <c r="N26" s="14">
        <v>74193</v>
      </c>
      <c r="O26" s="14">
        <v>79788</v>
      </c>
      <c r="P26" s="14">
        <v>86769</v>
      </c>
      <c r="Q26" s="14">
        <v>96330</v>
      </c>
      <c r="R26" s="14">
        <f>120658-13710</f>
        <v>106948</v>
      </c>
      <c r="S26" s="14">
        <f>134466-15583</f>
        <v>118883</v>
      </c>
      <c r="T26" s="14">
        <f>149541-17749</f>
        <v>131792</v>
      </c>
      <c r="U26" s="14">
        <v>140789</v>
      </c>
      <c r="V26" s="14">
        <f>169845.448-20101.065</f>
        <v>149744.383</v>
      </c>
      <c r="W26" s="14">
        <v>169179</v>
      </c>
      <c r="X26" s="203">
        <v>180997</v>
      </c>
      <c r="Y26" s="14">
        <f>207611.262-16988.594</f>
        <v>190622.66799999998</v>
      </c>
      <c r="Z26" s="14">
        <v>199275</v>
      </c>
      <c r="AA26" s="14">
        <v>209920</v>
      </c>
      <c r="AB26" s="14">
        <v>218478</v>
      </c>
      <c r="AC26" s="14">
        <v>232926</v>
      </c>
      <c r="AD26" s="14"/>
      <c r="AE26" s="30">
        <v>315234157</v>
      </c>
      <c r="AF26" s="156">
        <v>15616081</v>
      </c>
      <c r="AG26" s="3">
        <f>AE26-AF26</f>
        <v>299618076</v>
      </c>
      <c r="AH26" s="3">
        <f>AG26/1000</f>
        <v>299618.076</v>
      </c>
      <c r="AJ26" s="3">
        <v>331807665</v>
      </c>
      <c r="AK26" s="3">
        <v>16172006</v>
      </c>
      <c r="AL26" s="3">
        <f>AJ26-AK26</f>
        <v>315635659</v>
      </c>
      <c r="AM26" s="3">
        <f>AL26/1000</f>
        <v>315635.659</v>
      </c>
      <c r="AO26" s="3">
        <v>375190636</v>
      </c>
      <c r="AP26" s="3">
        <v>16388211</v>
      </c>
      <c r="AQ26" s="3">
        <f>AO26-AP26</f>
        <v>358802425</v>
      </c>
      <c r="AR26" s="3">
        <f>AQ26/1000</f>
        <v>358802.425</v>
      </c>
      <c r="AT26" s="3">
        <v>413859943.35</v>
      </c>
      <c r="AU26" s="3">
        <v>17751856</v>
      </c>
      <c r="AV26" s="3">
        <f>AT26-AU26</f>
        <v>396108087.35</v>
      </c>
      <c r="AW26" s="3">
        <f>AV26/1000</f>
        <v>396108.08735000005</v>
      </c>
      <c r="AY26" s="3">
        <v>448646923.0800001</v>
      </c>
      <c r="AZ26" s="3">
        <v>23870733</v>
      </c>
      <c r="BA26" s="3">
        <f>AY26-AZ26</f>
        <v>424776190.0800001</v>
      </c>
      <c r="BB26" s="3">
        <f>BA26/1000</f>
        <v>424776.1900800001</v>
      </c>
      <c r="BD26" s="3">
        <v>459638455.68</v>
      </c>
      <c r="BE26" s="3">
        <v>26419617</v>
      </c>
      <c r="BF26" s="3">
        <f>BD26-BE26</f>
        <v>433218838.68</v>
      </c>
      <c r="BG26" s="3">
        <f>BF26/1000</f>
        <v>433218.83868</v>
      </c>
      <c r="BI26" s="3">
        <v>472969887.26</v>
      </c>
      <c r="BJ26" s="286">
        <v>30088088.7</v>
      </c>
      <c r="BK26" s="3">
        <f>BI26-BJ26</f>
        <v>442881798.56</v>
      </c>
      <c r="BL26" s="3">
        <f>BK26/1000</f>
        <v>442881.79856</v>
      </c>
    </row>
    <row r="27" spans="1:64" ht="12.75">
      <c r="A27" s="1" t="s">
        <v>19</v>
      </c>
      <c r="B27" s="14">
        <v>358350</v>
      </c>
      <c r="C27" s="14">
        <v>389191</v>
      </c>
      <c r="D27" s="14">
        <v>415662</v>
      </c>
      <c r="E27" s="14">
        <v>448933</v>
      </c>
      <c r="F27" s="14">
        <v>483205</v>
      </c>
      <c r="G27" s="14">
        <v>522610.957</v>
      </c>
      <c r="H27" s="14">
        <v>567700.78995</v>
      </c>
      <c r="I27" s="14">
        <v>633790.91426</v>
      </c>
      <c r="J27" s="14">
        <v>677174.3920299999</v>
      </c>
      <c r="K27" s="14">
        <v>679399.2717999999</v>
      </c>
      <c r="L27" s="244">
        <f>(K27-J27)*100/J27</f>
        <v>0.3285534415042431</v>
      </c>
      <c r="M27" s="244">
        <f>(K27-AC27)*100/AC27</f>
        <v>111.27701506368788</v>
      </c>
      <c r="N27" s="14">
        <v>84765</v>
      </c>
      <c r="O27" s="14">
        <v>94959</v>
      </c>
      <c r="P27" s="14">
        <v>105724</v>
      </c>
      <c r="Q27" s="14">
        <v>120843</v>
      </c>
      <c r="R27" s="14">
        <f>154299-16277</f>
        <v>138022</v>
      </c>
      <c r="S27" s="14">
        <f>177433-18771</f>
        <v>158662</v>
      </c>
      <c r="T27" s="14">
        <f>204587-20984</f>
        <v>183603</v>
      </c>
      <c r="U27" s="14">
        <v>180894</v>
      </c>
      <c r="V27" s="14">
        <f>213335.306-24403.312</f>
        <v>188931.994</v>
      </c>
      <c r="W27" s="14">
        <v>209184</v>
      </c>
      <c r="X27" s="203">
        <v>225155</v>
      </c>
      <c r="Y27" s="14">
        <f>261805.99-20737.782</f>
        <v>241068.20799999998</v>
      </c>
      <c r="Z27" s="14">
        <v>249190</v>
      </c>
      <c r="AA27" s="14">
        <v>261395</v>
      </c>
      <c r="AB27" s="14">
        <v>282982</v>
      </c>
      <c r="AC27" s="14">
        <v>321568</v>
      </c>
      <c r="AD27" s="14"/>
      <c r="AE27" s="30">
        <v>472213591</v>
      </c>
      <c r="AF27" s="156">
        <v>23280883</v>
      </c>
      <c r="AG27" s="3">
        <f>AE27-AF27</f>
        <v>448932708</v>
      </c>
      <c r="AH27" s="3">
        <f>AG27/1000</f>
        <v>448932.708</v>
      </c>
      <c r="AJ27" s="3">
        <v>507485503</v>
      </c>
      <c r="AK27" s="3">
        <v>24280894</v>
      </c>
      <c r="AL27" s="3">
        <f>AJ27-AK27</f>
        <v>483204609</v>
      </c>
      <c r="AM27" s="3">
        <f>AL27/1000</f>
        <v>483204.609</v>
      </c>
      <c r="AO27" s="3">
        <v>548902171</v>
      </c>
      <c r="AP27" s="3">
        <v>26291214</v>
      </c>
      <c r="AQ27" s="3">
        <f>AO27-AP27</f>
        <v>522610957</v>
      </c>
      <c r="AR27" s="3">
        <f>AQ27/1000</f>
        <v>522610.957</v>
      </c>
      <c r="AT27" s="3">
        <v>597416783.95</v>
      </c>
      <c r="AU27" s="3">
        <v>29715994</v>
      </c>
      <c r="AV27" s="3">
        <f>AT27-AU27</f>
        <v>567700789.95</v>
      </c>
      <c r="AW27" s="3">
        <f>AV27/1000</f>
        <v>567700.78995</v>
      </c>
      <c r="AY27" s="3">
        <v>671766550.26</v>
      </c>
      <c r="AZ27" s="3">
        <v>37975636</v>
      </c>
      <c r="BA27" s="3">
        <f>AY27-AZ27</f>
        <v>633790914.26</v>
      </c>
      <c r="BB27" s="3">
        <f>BA27/1000</f>
        <v>633790.91426</v>
      </c>
      <c r="BD27" s="3">
        <v>718598360.0299999</v>
      </c>
      <c r="BE27" s="3">
        <v>41423968</v>
      </c>
      <c r="BF27" s="3">
        <f>BD27-BE27</f>
        <v>677174392.0299999</v>
      </c>
      <c r="BG27" s="3">
        <f>BF27/1000</f>
        <v>677174.3920299999</v>
      </c>
      <c r="BI27" s="3">
        <v>730008616.6599998</v>
      </c>
      <c r="BJ27" s="286">
        <v>50609344.86</v>
      </c>
      <c r="BK27" s="3">
        <f>BI27-BJ27</f>
        <v>679399271.7999998</v>
      </c>
      <c r="BL27" s="3">
        <f>BK27/1000</f>
        <v>679399.2717999999</v>
      </c>
    </row>
    <row r="28" spans="1:64" ht="12.75">
      <c r="A28" s="1" t="s">
        <v>20</v>
      </c>
      <c r="B28" s="14">
        <v>22682</v>
      </c>
      <c r="C28" s="14">
        <v>24554</v>
      </c>
      <c r="D28" s="14">
        <v>25133</v>
      </c>
      <c r="E28" s="14">
        <v>24061</v>
      </c>
      <c r="F28" s="14">
        <v>24640</v>
      </c>
      <c r="G28" s="14">
        <v>26038.525</v>
      </c>
      <c r="H28" s="14">
        <v>27514.929669999998</v>
      </c>
      <c r="I28" s="14">
        <v>27109.1895</v>
      </c>
      <c r="J28" s="14">
        <v>29771.89137</v>
      </c>
      <c r="K28" s="14">
        <v>30928.958039999998</v>
      </c>
      <c r="L28" s="244">
        <f>(K28-J28)*100/J28</f>
        <v>3.886439916161754</v>
      </c>
      <c r="M28" s="244">
        <f>(K28-AC28)*100/AC28</f>
        <v>49.37196001159083</v>
      </c>
      <c r="N28" s="14">
        <v>7397</v>
      </c>
      <c r="O28" s="14">
        <v>8162</v>
      </c>
      <c r="P28" s="14">
        <v>8805</v>
      </c>
      <c r="Q28" s="14">
        <v>9729</v>
      </c>
      <c r="R28" s="14">
        <f>12600-1331</f>
        <v>11269</v>
      </c>
      <c r="S28" s="14">
        <f>14026-1432</f>
        <v>12594</v>
      </c>
      <c r="T28" s="14">
        <f>14873-1597</f>
        <v>13276</v>
      </c>
      <c r="U28" s="14">
        <v>13375</v>
      </c>
      <c r="V28" s="14">
        <f>15432.637-1709.593</f>
        <v>13723.044</v>
      </c>
      <c r="W28" s="14">
        <v>15574</v>
      </c>
      <c r="X28" s="203">
        <v>16530</v>
      </c>
      <c r="Y28" s="14">
        <f>18582.291-1525.805</f>
        <v>17056.486</v>
      </c>
      <c r="Z28" s="14">
        <v>17656</v>
      </c>
      <c r="AA28" s="30">
        <v>20400</v>
      </c>
      <c r="AB28" s="14">
        <v>19760</v>
      </c>
      <c r="AC28" s="14">
        <v>20706</v>
      </c>
      <c r="AD28" s="14"/>
      <c r="AE28" s="30">
        <v>25384558</v>
      </c>
      <c r="AF28" s="156">
        <v>1323595</v>
      </c>
      <c r="AG28" s="3">
        <f>AE28-AF28</f>
        <v>24060963</v>
      </c>
      <c r="AH28" s="3">
        <f>AG28/1000</f>
        <v>24060.963</v>
      </c>
      <c r="AJ28" s="3">
        <v>26017181</v>
      </c>
      <c r="AK28" s="3">
        <v>1377577</v>
      </c>
      <c r="AL28" s="3">
        <f>AJ28-AK28</f>
        <v>24639604</v>
      </c>
      <c r="AM28" s="3">
        <f>AL28/1000</f>
        <v>24639.604</v>
      </c>
      <c r="AO28" s="3">
        <v>27324704</v>
      </c>
      <c r="AP28" s="3">
        <v>1286179</v>
      </c>
      <c r="AQ28" s="3">
        <f>AO28-AP28</f>
        <v>26038525</v>
      </c>
      <c r="AR28" s="3">
        <f>AQ28/1000</f>
        <v>26038.525</v>
      </c>
      <c r="AT28" s="3">
        <v>28885560.669999998</v>
      </c>
      <c r="AU28" s="3">
        <v>1370631</v>
      </c>
      <c r="AV28" s="3">
        <f>AT28-AU28</f>
        <v>27514929.669999998</v>
      </c>
      <c r="AW28" s="3">
        <f>AV28/1000</f>
        <v>27514.929669999998</v>
      </c>
      <c r="AY28" s="3">
        <v>28787983.5</v>
      </c>
      <c r="AZ28" s="3">
        <v>1678794</v>
      </c>
      <c r="BA28" s="3">
        <f>AY28-AZ28</f>
        <v>27109189.5</v>
      </c>
      <c r="BB28" s="3">
        <f>BA28/1000</f>
        <v>27109.1895</v>
      </c>
      <c r="BD28" s="3">
        <v>31560237.37</v>
      </c>
      <c r="BE28" s="3">
        <v>1788346</v>
      </c>
      <c r="BF28" s="3">
        <f>BD28-BE28</f>
        <v>29771891.37</v>
      </c>
      <c r="BG28" s="3">
        <f>BF28/1000</f>
        <v>29771.89137</v>
      </c>
      <c r="BI28" s="3">
        <v>32913089.709999997</v>
      </c>
      <c r="BJ28" s="286">
        <v>1984131.67</v>
      </c>
      <c r="BK28" s="3">
        <f>BI28-BJ28</f>
        <v>30928958.04</v>
      </c>
      <c r="BL28" s="3">
        <f>BK28/1000</f>
        <v>30928.958039999998</v>
      </c>
    </row>
    <row r="29" spans="2:62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44"/>
      <c r="M29" s="24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05"/>
      <c r="Y29" s="14"/>
      <c r="Z29" s="14"/>
      <c r="AA29" s="30"/>
      <c r="AB29" s="14"/>
      <c r="AC29" s="14"/>
      <c r="AD29" s="14"/>
      <c r="AE29" s="30"/>
      <c r="AF29" s="156"/>
      <c r="BJ29" s="286"/>
    </row>
    <row r="30" spans="1:64" ht="12.75">
      <c r="A30" s="1" t="s">
        <v>21</v>
      </c>
      <c r="B30" s="14">
        <v>1189767</v>
      </c>
      <c r="C30" s="14">
        <v>1287628</v>
      </c>
      <c r="D30" s="14">
        <v>1380120</v>
      </c>
      <c r="E30" s="14">
        <v>1455186</v>
      </c>
      <c r="F30" s="14">
        <v>1567296</v>
      </c>
      <c r="G30" s="14">
        <v>1683251.537</v>
      </c>
      <c r="H30" s="14">
        <v>1804220.49804</v>
      </c>
      <c r="I30" s="14">
        <v>1926642.179130001</v>
      </c>
      <c r="J30" s="14">
        <v>2006302.4228899998</v>
      </c>
      <c r="K30" s="14">
        <v>2043837.1688399997</v>
      </c>
      <c r="L30" s="244">
        <f>(K30-J30)*100/J30</f>
        <v>1.870841879158605</v>
      </c>
      <c r="M30" s="244">
        <f>(K30-AC30)*100/AC30</f>
        <v>89.29886863982927</v>
      </c>
      <c r="N30" s="14">
        <v>381936</v>
      </c>
      <c r="O30" s="14">
        <v>415578</v>
      </c>
      <c r="P30" s="14">
        <v>452596</v>
      </c>
      <c r="Q30" s="14">
        <v>504423</v>
      </c>
      <c r="R30" s="14">
        <f>644864-83212</f>
        <v>561652</v>
      </c>
      <c r="S30" s="14">
        <f>714689-88496</f>
        <v>626193</v>
      </c>
      <c r="T30" s="14">
        <f>780609-96262</f>
        <v>684347</v>
      </c>
      <c r="U30" s="14">
        <v>695211</v>
      </c>
      <c r="V30" s="14">
        <f>815173.495-95295.276</f>
        <v>719878.219</v>
      </c>
      <c r="W30" s="14">
        <v>773667</v>
      </c>
      <c r="X30" s="205">
        <v>813765</v>
      </c>
      <c r="Y30" s="14">
        <f>935435.462-79534.647</f>
        <v>855900.8150000001</v>
      </c>
      <c r="Z30" s="14">
        <v>892984</v>
      </c>
      <c r="AA30" s="30">
        <v>943875</v>
      </c>
      <c r="AB30" s="14">
        <v>1006397</v>
      </c>
      <c r="AC30" s="14">
        <v>1079688</v>
      </c>
      <c r="AD30" s="14"/>
      <c r="AE30" s="30">
        <v>1532477269</v>
      </c>
      <c r="AF30" s="156">
        <v>77291357</v>
      </c>
      <c r="AG30" s="3">
        <f>AE30-AF30</f>
        <v>1455185912</v>
      </c>
      <c r="AH30" s="3">
        <f aca="true" t="shared" si="1" ref="AH30:AH39">AG30/1000</f>
        <v>1455185.912</v>
      </c>
      <c r="AJ30" s="3">
        <v>1649233527</v>
      </c>
      <c r="AK30" s="3">
        <v>81937339</v>
      </c>
      <c r="AL30" s="3">
        <f>AJ30-AK30</f>
        <v>1567296188</v>
      </c>
      <c r="AM30" s="3">
        <f aca="true" t="shared" si="2" ref="AM30:AM39">AL30/1000</f>
        <v>1567296.188</v>
      </c>
      <c r="AO30" s="3">
        <v>1767545886</v>
      </c>
      <c r="AP30" s="3">
        <v>84294349</v>
      </c>
      <c r="AQ30" s="3">
        <f>AO30-AP30</f>
        <v>1683251537</v>
      </c>
      <c r="AR30" s="3">
        <f aca="true" t="shared" si="3" ref="AR30:AR39">AQ30/1000</f>
        <v>1683251.537</v>
      </c>
      <c r="AT30" s="3">
        <v>1895860817.04</v>
      </c>
      <c r="AU30" s="3">
        <v>91640319</v>
      </c>
      <c r="AV30" s="3">
        <f>AT30-AU30</f>
        <v>1804220498.04</v>
      </c>
      <c r="AW30" s="3">
        <f aca="true" t="shared" si="4" ref="AW30:AW39">AV30/1000</f>
        <v>1804220.49804</v>
      </c>
      <c r="AY30" s="3">
        <v>2042149198.130001</v>
      </c>
      <c r="AZ30" s="3">
        <v>115507019</v>
      </c>
      <c r="BA30" s="3">
        <f>AY30-AZ30</f>
        <v>1926642179.130001</v>
      </c>
      <c r="BB30" s="3">
        <f aca="true" t="shared" si="5" ref="BB30:BB39">BA30/1000</f>
        <v>1926642.179130001</v>
      </c>
      <c r="BD30" s="3">
        <v>2131199809.8899999</v>
      </c>
      <c r="BE30" s="3">
        <v>124897387</v>
      </c>
      <c r="BF30" s="3">
        <f>BD30-BE30</f>
        <v>2006302422.8899999</v>
      </c>
      <c r="BG30" s="3">
        <f>BF30/1000</f>
        <v>2006302.4228899998</v>
      </c>
      <c r="BI30" s="3">
        <v>2187410005.2</v>
      </c>
      <c r="BJ30" s="286">
        <v>143572836.36</v>
      </c>
      <c r="BK30" s="3">
        <f>BI30-BJ30</f>
        <v>2043837168.8399997</v>
      </c>
      <c r="BL30" s="3">
        <f>BK30/1000</f>
        <v>2043837.1688399997</v>
      </c>
    </row>
    <row r="31" spans="1:64" ht="12.75">
      <c r="A31" s="1" t="s">
        <v>22</v>
      </c>
      <c r="B31" s="14">
        <v>959409</v>
      </c>
      <c r="C31" s="14">
        <v>1031316</v>
      </c>
      <c r="D31" s="14">
        <v>1110197</v>
      </c>
      <c r="E31" s="14">
        <v>1129031</v>
      </c>
      <c r="F31" s="14">
        <v>1224625</v>
      </c>
      <c r="G31" s="14">
        <v>1309195.4</v>
      </c>
      <c r="H31" s="14">
        <v>1457135.6442</v>
      </c>
      <c r="I31" s="14">
        <v>1675769.1465599998</v>
      </c>
      <c r="J31" s="14">
        <v>1657020.5187899994</v>
      </c>
      <c r="K31" s="14">
        <v>1659544.2218000002</v>
      </c>
      <c r="L31" s="244">
        <f>(K31-J31)*100/J31</f>
        <v>0.15230366681540125</v>
      </c>
      <c r="M31" s="244">
        <f>(K31-AC31)*100/AC31</f>
        <v>85.47284220196613</v>
      </c>
      <c r="N31" s="14">
        <v>322138</v>
      </c>
      <c r="O31" s="14">
        <v>344137</v>
      </c>
      <c r="P31" s="14">
        <v>375974</v>
      </c>
      <c r="Q31" s="14">
        <v>429815</v>
      </c>
      <c r="R31" s="14">
        <f>533634-65232</f>
        <v>468402</v>
      </c>
      <c r="S31" s="14">
        <f>576774-68171</f>
        <v>508603</v>
      </c>
      <c r="T31" s="14">
        <f>626054-73233</f>
        <v>552821</v>
      </c>
      <c r="U31" s="14">
        <v>554716</v>
      </c>
      <c r="V31" s="14">
        <f>663265.452-72217.316</f>
        <v>591048.136</v>
      </c>
      <c r="W31" s="14">
        <v>641632</v>
      </c>
      <c r="X31" s="205">
        <v>682772</v>
      </c>
      <c r="Y31" s="14">
        <f>767173.669-62887.658</f>
        <v>704286.0109999999</v>
      </c>
      <c r="Z31" s="14">
        <v>737341</v>
      </c>
      <c r="AA31" s="30">
        <v>788620</v>
      </c>
      <c r="AB31" s="14">
        <v>842987</v>
      </c>
      <c r="AC31" s="14">
        <v>894764</v>
      </c>
      <c r="AD31" s="14"/>
      <c r="AE31" s="30">
        <v>1182047128</v>
      </c>
      <c r="AF31" s="156">
        <v>53016499</v>
      </c>
      <c r="AG31" s="3">
        <f>AE31-AF31</f>
        <v>1129030629</v>
      </c>
      <c r="AH31" s="3">
        <f t="shared" si="1"/>
        <v>1129030.629</v>
      </c>
      <c r="AJ31" s="3">
        <v>1281721111</v>
      </c>
      <c r="AK31" s="3">
        <v>57096339</v>
      </c>
      <c r="AL31" s="3">
        <f>AJ31-AK31</f>
        <v>1224624772</v>
      </c>
      <c r="AM31" s="3">
        <f t="shared" si="2"/>
        <v>1224624.772</v>
      </c>
      <c r="AO31" s="3">
        <v>1365988555</v>
      </c>
      <c r="AP31" s="3">
        <v>56793155</v>
      </c>
      <c r="AQ31" s="3">
        <f>AO31-AP31</f>
        <v>1309195400</v>
      </c>
      <c r="AR31" s="3">
        <f t="shared" si="3"/>
        <v>1309195.4</v>
      </c>
      <c r="AT31" s="3">
        <v>1520688408.2</v>
      </c>
      <c r="AU31" s="3">
        <v>63552764</v>
      </c>
      <c r="AV31" s="3">
        <f>AT31-AU31</f>
        <v>1457135644.2</v>
      </c>
      <c r="AW31" s="3">
        <f t="shared" si="4"/>
        <v>1457135.6442</v>
      </c>
      <c r="AY31" s="3">
        <v>1755513547.5599997</v>
      </c>
      <c r="AZ31" s="3">
        <v>79744401</v>
      </c>
      <c r="BA31" s="3">
        <f>AY31-AZ31</f>
        <v>1675769146.5599997</v>
      </c>
      <c r="BB31" s="3">
        <f t="shared" si="5"/>
        <v>1675769.1465599998</v>
      </c>
      <c r="BD31" s="3">
        <v>1747163549.7899995</v>
      </c>
      <c r="BE31" s="3">
        <v>90143031</v>
      </c>
      <c r="BF31" s="3">
        <f>BD31-BE31</f>
        <v>1657020518.7899995</v>
      </c>
      <c r="BG31" s="3">
        <f>BF31/1000</f>
        <v>1657020.5187899994</v>
      </c>
      <c r="BI31" s="3">
        <v>1766759542.4700003</v>
      </c>
      <c r="BJ31" s="286">
        <v>107215320.67</v>
      </c>
      <c r="BK31" s="3">
        <f>BI31-BJ31</f>
        <v>1659544221.8000002</v>
      </c>
      <c r="BL31" s="3">
        <f>BK31/1000</f>
        <v>1659544.2218000002</v>
      </c>
    </row>
    <row r="32" spans="1:64" ht="12.75">
      <c r="A32" s="1" t="s">
        <v>23</v>
      </c>
      <c r="B32" s="14">
        <v>49088</v>
      </c>
      <c r="C32" s="14">
        <v>53639</v>
      </c>
      <c r="D32" s="14">
        <v>56648</v>
      </c>
      <c r="E32" s="14">
        <v>60034</v>
      </c>
      <c r="F32" s="14">
        <v>62828</v>
      </c>
      <c r="G32" s="14">
        <v>67404.182</v>
      </c>
      <c r="H32" s="14">
        <v>71201.18763</v>
      </c>
      <c r="I32" s="14">
        <v>77965.8406</v>
      </c>
      <c r="J32" s="14">
        <v>82881.18934999997</v>
      </c>
      <c r="K32" s="14">
        <v>84732.28885</v>
      </c>
      <c r="L32" s="244">
        <f>(K32-J32)*100/J32</f>
        <v>2.233437423518376</v>
      </c>
      <c r="M32" s="244">
        <f>(K32-AC32)*100/AC32</f>
        <v>88.52019946157611</v>
      </c>
      <c r="N32" s="14">
        <v>13559</v>
      </c>
      <c r="O32" s="14">
        <v>15474</v>
      </c>
      <c r="P32" s="14">
        <v>17450</v>
      </c>
      <c r="Q32" s="14">
        <v>19342</v>
      </c>
      <c r="R32" s="14">
        <v>21165</v>
      </c>
      <c r="S32" s="14">
        <f>26598-2808</f>
        <v>23790</v>
      </c>
      <c r="T32" s="14">
        <f>28520-3215</f>
        <v>25305</v>
      </c>
      <c r="U32" s="14">
        <v>27636</v>
      </c>
      <c r="V32" s="14">
        <f>32195.754-3547.14</f>
        <v>28648.614</v>
      </c>
      <c r="W32" s="14">
        <v>31360</v>
      </c>
      <c r="X32" s="203">
        <v>33064</v>
      </c>
      <c r="Y32" s="14">
        <f>36645.216-3142.252</f>
        <v>33502.964</v>
      </c>
      <c r="Z32" s="14">
        <v>35412</v>
      </c>
      <c r="AA32" s="14">
        <v>38080</v>
      </c>
      <c r="AB32" s="14">
        <v>42314</v>
      </c>
      <c r="AC32" s="14">
        <v>44946</v>
      </c>
      <c r="AD32" s="14"/>
      <c r="AE32" s="30">
        <v>63022312</v>
      </c>
      <c r="AF32" s="156">
        <v>2988777</v>
      </c>
      <c r="AG32" s="3">
        <f>AE32-AF32</f>
        <v>60033535</v>
      </c>
      <c r="AH32" s="3">
        <f t="shared" si="1"/>
        <v>60033.535</v>
      </c>
      <c r="AJ32" s="3">
        <v>65906459</v>
      </c>
      <c r="AK32" s="3">
        <v>3078267</v>
      </c>
      <c r="AL32" s="3">
        <f>AJ32-AK32</f>
        <v>62828192</v>
      </c>
      <c r="AM32" s="3">
        <f t="shared" si="2"/>
        <v>62828.192</v>
      </c>
      <c r="AO32" s="3">
        <v>70640615</v>
      </c>
      <c r="AP32" s="3">
        <v>3236433</v>
      </c>
      <c r="AQ32" s="3">
        <f>AO32-AP32</f>
        <v>67404182</v>
      </c>
      <c r="AR32" s="3">
        <f t="shared" si="3"/>
        <v>67404.182</v>
      </c>
      <c r="AT32" s="3">
        <v>74774911.63</v>
      </c>
      <c r="AU32" s="3">
        <v>3573724</v>
      </c>
      <c r="AV32" s="3">
        <f>AT32-AU32</f>
        <v>71201187.63</v>
      </c>
      <c r="AW32" s="3">
        <f t="shared" si="4"/>
        <v>71201.18763</v>
      </c>
      <c r="AY32" s="3">
        <v>82468978.6</v>
      </c>
      <c r="AZ32" s="3">
        <v>4503138</v>
      </c>
      <c r="BA32" s="3">
        <f>AY32-AZ32</f>
        <v>77965840.6</v>
      </c>
      <c r="BB32" s="3">
        <f t="shared" si="5"/>
        <v>77965.8406</v>
      </c>
      <c r="BD32" s="3">
        <v>87597406.34999996</v>
      </c>
      <c r="BE32" s="3">
        <v>4716217</v>
      </c>
      <c r="BF32" s="3">
        <f>BD32-BE32</f>
        <v>82881189.34999996</v>
      </c>
      <c r="BG32" s="3">
        <f>BF32/1000</f>
        <v>82881.18934999997</v>
      </c>
      <c r="BI32" s="3">
        <v>90188107.28999999</v>
      </c>
      <c r="BJ32" s="286">
        <v>5455818.44</v>
      </c>
      <c r="BK32" s="3">
        <f>BI32-BJ32</f>
        <v>84732288.85</v>
      </c>
      <c r="BL32" s="3">
        <f>BK32/1000</f>
        <v>84732.28885</v>
      </c>
    </row>
    <row r="33" spans="1:64" ht="12.75">
      <c r="A33" s="1" t="s">
        <v>24</v>
      </c>
      <c r="B33" s="14">
        <v>102469</v>
      </c>
      <c r="C33" s="14">
        <v>111156</v>
      </c>
      <c r="D33" s="14">
        <v>118164</v>
      </c>
      <c r="E33" s="14">
        <v>123125</v>
      </c>
      <c r="F33" s="14">
        <v>133326</v>
      </c>
      <c r="G33" s="14">
        <v>145102.487</v>
      </c>
      <c r="H33" s="14">
        <v>154821.61119000003</v>
      </c>
      <c r="I33" s="14">
        <v>170984.20019</v>
      </c>
      <c r="J33" s="14">
        <v>183531.43567</v>
      </c>
      <c r="K33" s="14">
        <v>195626.52916</v>
      </c>
      <c r="L33" s="244">
        <f>(K33-J33)*100/J33</f>
        <v>6.590202624332797</v>
      </c>
      <c r="M33" s="244">
        <f>(K33-AC33)*100/AC33</f>
        <v>101.8120690772167</v>
      </c>
      <c r="N33" s="14">
        <v>32282</v>
      </c>
      <c r="O33" s="14">
        <v>34832</v>
      </c>
      <c r="P33" s="14">
        <v>38245</v>
      </c>
      <c r="Q33" s="14">
        <v>43320</v>
      </c>
      <c r="R33" s="14">
        <v>46936</v>
      </c>
      <c r="S33" s="14">
        <f>57506-6140</f>
        <v>51366</v>
      </c>
      <c r="T33" s="14">
        <f>64215-6947</f>
        <v>57268</v>
      </c>
      <c r="U33" s="14">
        <v>62560</v>
      </c>
      <c r="V33" s="14">
        <f>72358.066-8169.662</f>
        <v>64188.40400000001</v>
      </c>
      <c r="W33" s="14">
        <v>69165</v>
      </c>
      <c r="X33" s="203">
        <v>73304</v>
      </c>
      <c r="Y33" s="14">
        <f>79604.785-6739.015</f>
        <v>72865.77</v>
      </c>
      <c r="Z33" s="14">
        <v>78617</v>
      </c>
      <c r="AA33" s="14">
        <v>83637</v>
      </c>
      <c r="AB33" s="14">
        <v>88503</v>
      </c>
      <c r="AC33" s="14">
        <v>96935</v>
      </c>
      <c r="AD33" s="14"/>
      <c r="AE33" s="30">
        <v>129367975</v>
      </c>
      <c r="AF33" s="156">
        <v>6243207</v>
      </c>
      <c r="AG33" s="3">
        <f>AE33-AF33</f>
        <v>123124768</v>
      </c>
      <c r="AH33" s="3">
        <f t="shared" si="1"/>
        <v>123124.768</v>
      </c>
      <c r="AJ33" s="3">
        <v>140002079</v>
      </c>
      <c r="AK33" s="3">
        <v>6675959</v>
      </c>
      <c r="AL33" s="3">
        <f>AJ33-AK33</f>
        <v>133326120</v>
      </c>
      <c r="AM33" s="3">
        <f t="shared" si="2"/>
        <v>133326.12</v>
      </c>
      <c r="AO33" s="3">
        <v>152037867</v>
      </c>
      <c r="AP33" s="3">
        <v>6935380</v>
      </c>
      <c r="AQ33" s="3">
        <f>AO33-AP33</f>
        <v>145102487</v>
      </c>
      <c r="AR33" s="3">
        <f t="shared" si="3"/>
        <v>145102.487</v>
      </c>
      <c r="AT33" s="3">
        <v>162550860.19000003</v>
      </c>
      <c r="AU33" s="3">
        <v>7729249</v>
      </c>
      <c r="AV33" s="3">
        <f>AT33-AU33</f>
        <v>154821611.19000003</v>
      </c>
      <c r="AW33" s="3">
        <f t="shared" si="4"/>
        <v>154821.61119000003</v>
      </c>
      <c r="AY33" s="3">
        <v>181042940.19</v>
      </c>
      <c r="AZ33" s="3">
        <v>10058740</v>
      </c>
      <c r="BA33" s="3">
        <f>AY33-AZ33</f>
        <v>170984200.19</v>
      </c>
      <c r="BB33" s="3">
        <f t="shared" si="5"/>
        <v>170984.20019</v>
      </c>
      <c r="BD33" s="3">
        <v>194367532.67000002</v>
      </c>
      <c r="BE33" s="3">
        <v>10836097</v>
      </c>
      <c r="BF33" s="3">
        <f>BD33-BE33</f>
        <v>183531435.67000002</v>
      </c>
      <c r="BG33" s="3">
        <f>BF33/1000</f>
        <v>183531.43567</v>
      </c>
      <c r="BI33" s="3">
        <v>208060203.88</v>
      </c>
      <c r="BJ33" s="286">
        <v>12433674.72</v>
      </c>
      <c r="BK33" s="3">
        <f>BI33-BJ33</f>
        <v>195626529.16</v>
      </c>
      <c r="BL33" s="3">
        <f>BK33/1000</f>
        <v>195626.52916</v>
      </c>
    </row>
    <row r="34" spans="1:64" ht="12.75">
      <c r="A34" s="1" t="s">
        <v>25</v>
      </c>
      <c r="B34" s="14">
        <v>23864</v>
      </c>
      <c r="C34" s="14">
        <v>25279</v>
      </c>
      <c r="D34" s="14">
        <v>26414</v>
      </c>
      <c r="E34" s="14">
        <v>27417</v>
      </c>
      <c r="F34" s="14">
        <v>28702</v>
      </c>
      <c r="G34" s="14">
        <v>31452.992</v>
      </c>
      <c r="H34" s="14">
        <v>34585.4662</v>
      </c>
      <c r="I34" s="14">
        <v>38741.09311</v>
      </c>
      <c r="J34" s="14">
        <v>39051.78004</v>
      </c>
      <c r="K34" s="14">
        <v>38756.91137</v>
      </c>
      <c r="L34" s="244">
        <f>(K34-J34)*100/J34</f>
        <v>-0.7550710100742343</v>
      </c>
      <c r="M34" s="244">
        <f>(K34-AC34)*100/AC34</f>
        <v>69.30329971168968</v>
      </c>
      <c r="N34" s="14">
        <v>8936</v>
      </c>
      <c r="O34" s="14">
        <v>9621</v>
      </c>
      <c r="P34" s="14">
        <v>10394</v>
      </c>
      <c r="Q34" s="14">
        <v>11360</v>
      </c>
      <c r="R34" s="14">
        <v>12361</v>
      </c>
      <c r="S34" s="14">
        <f>15678-1657</f>
        <v>14021</v>
      </c>
      <c r="T34" s="14">
        <f>16900-1809</f>
        <v>15091</v>
      </c>
      <c r="U34" s="14">
        <v>15100</v>
      </c>
      <c r="V34" s="14">
        <f>17956.829-1810.233</f>
        <v>16146.596000000001</v>
      </c>
      <c r="W34" s="14">
        <v>17928</v>
      </c>
      <c r="X34" s="203">
        <v>18576</v>
      </c>
      <c r="Y34" s="14">
        <f>21174.935-1832.657</f>
        <v>19342.278000000002</v>
      </c>
      <c r="Z34" s="14">
        <v>19090</v>
      </c>
      <c r="AA34" s="14">
        <v>21497</v>
      </c>
      <c r="AB34" s="14">
        <v>21765</v>
      </c>
      <c r="AC34" s="14">
        <v>22892</v>
      </c>
      <c r="AD34" s="14"/>
      <c r="AE34" s="30">
        <v>28788993</v>
      </c>
      <c r="AF34" s="156">
        <v>1371644</v>
      </c>
      <c r="AG34" s="3">
        <f>AE34-AF34</f>
        <v>27417349</v>
      </c>
      <c r="AH34" s="3">
        <f t="shared" si="1"/>
        <v>27417.349</v>
      </c>
      <c r="AJ34" s="3">
        <v>30111492</v>
      </c>
      <c r="AK34" s="3">
        <v>1409021</v>
      </c>
      <c r="AL34" s="3">
        <f>AJ34-AK34</f>
        <v>28702471</v>
      </c>
      <c r="AM34" s="3">
        <f t="shared" si="2"/>
        <v>28702.471</v>
      </c>
      <c r="AO34" s="3">
        <v>32848576</v>
      </c>
      <c r="AP34" s="3">
        <v>1395584</v>
      </c>
      <c r="AQ34" s="3">
        <f>AO34-AP34</f>
        <v>31452992</v>
      </c>
      <c r="AR34" s="3">
        <f t="shared" si="3"/>
        <v>31452.992</v>
      </c>
      <c r="AT34" s="3">
        <v>36109981.2</v>
      </c>
      <c r="AU34" s="3">
        <v>1524515</v>
      </c>
      <c r="AV34" s="3">
        <f>AT34-AU34</f>
        <v>34585466.2</v>
      </c>
      <c r="AW34" s="3">
        <f t="shared" si="4"/>
        <v>34585.4662</v>
      </c>
      <c r="AY34" s="3">
        <v>40726485.11</v>
      </c>
      <c r="AZ34" s="3">
        <v>1985392</v>
      </c>
      <c r="BA34" s="3">
        <f>AY34-AZ34</f>
        <v>38741093.11</v>
      </c>
      <c r="BB34" s="3">
        <f t="shared" si="5"/>
        <v>38741.09311</v>
      </c>
      <c r="BD34" s="3">
        <v>41226080.04</v>
      </c>
      <c r="BE34" s="3">
        <v>2174300</v>
      </c>
      <c r="BF34" s="3">
        <f>BD34-BE34</f>
        <v>39051780.04</v>
      </c>
      <c r="BG34" s="3">
        <f>BF34/1000</f>
        <v>39051.78004</v>
      </c>
      <c r="BI34" s="3">
        <v>41219608.160000004</v>
      </c>
      <c r="BJ34" s="286">
        <v>2462696.79</v>
      </c>
      <c r="BK34" s="3">
        <f>BI34-BJ34</f>
        <v>38756911.370000005</v>
      </c>
      <c r="BL34" s="3">
        <f>BK34/1000</f>
        <v>38756.91137</v>
      </c>
    </row>
    <row r="35" spans="2:62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44"/>
      <c r="M35" s="24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203"/>
      <c r="Y35" s="14"/>
      <c r="Z35" s="14"/>
      <c r="AA35" s="14"/>
      <c r="AB35" s="14"/>
      <c r="AC35" s="14"/>
      <c r="AD35" s="14"/>
      <c r="AE35" s="30"/>
      <c r="AF35" s="156"/>
      <c r="BJ35" s="286"/>
    </row>
    <row r="36" spans="1:64" ht="12.75">
      <c r="A36" s="1" t="s">
        <v>26</v>
      </c>
      <c r="B36" s="14">
        <v>31121</v>
      </c>
      <c r="C36" s="14">
        <v>33609</v>
      </c>
      <c r="D36" s="14">
        <v>35845</v>
      </c>
      <c r="E36" s="14">
        <v>38082</v>
      </c>
      <c r="F36" s="14">
        <v>38296</v>
      </c>
      <c r="G36" s="14">
        <v>40772.492</v>
      </c>
      <c r="H36" s="14">
        <v>43869.53516000001</v>
      </c>
      <c r="I36" s="14">
        <v>44910.95799000001</v>
      </c>
      <c r="J36" s="14">
        <v>47173.194610000006</v>
      </c>
      <c r="K36" s="14">
        <v>49261.13335</v>
      </c>
      <c r="L36" s="244">
        <f>(K36-J36)*100/J36</f>
        <v>4.426112662629338</v>
      </c>
      <c r="M36" s="244">
        <f>(K36-AC36)*100/AC36</f>
        <v>72.74304222042991</v>
      </c>
      <c r="N36" s="14">
        <v>11044</v>
      </c>
      <c r="O36" s="14">
        <v>11625</v>
      </c>
      <c r="P36" s="14">
        <v>12141</v>
      </c>
      <c r="Q36" s="14">
        <v>14290</v>
      </c>
      <c r="R36" s="14">
        <v>15873</v>
      </c>
      <c r="S36" s="14">
        <f>20487-2121</f>
        <v>18366</v>
      </c>
      <c r="T36" s="14">
        <f>21166-2226</f>
        <v>18940</v>
      </c>
      <c r="U36" s="14">
        <v>18637</v>
      </c>
      <c r="V36" s="14">
        <f>21835.625-2778.509</f>
        <v>19057.116</v>
      </c>
      <c r="W36" s="14">
        <v>21886</v>
      </c>
      <c r="X36" s="203">
        <v>23764</v>
      </c>
      <c r="Y36" s="14">
        <f>26834.783-2255.978</f>
        <v>24578.805</v>
      </c>
      <c r="Z36" s="14">
        <v>24358</v>
      </c>
      <c r="AA36" s="14">
        <v>25080</v>
      </c>
      <c r="AB36" s="14">
        <v>27346</v>
      </c>
      <c r="AC36" s="14">
        <v>28517</v>
      </c>
      <c r="AD36" s="14"/>
      <c r="AE36" s="30">
        <v>40106979</v>
      </c>
      <c r="AF36" s="156">
        <v>2025143</v>
      </c>
      <c r="AG36" s="3">
        <f>AE36-AF36</f>
        <v>38081836</v>
      </c>
      <c r="AH36" s="3">
        <f t="shared" si="1"/>
        <v>38081.836</v>
      </c>
      <c r="AJ36" s="3">
        <v>40330631</v>
      </c>
      <c r="AK36" s="3">
        <v>2034542</v>
      </c>
      <c r="AL36" s="3">
        <f>AJ36-AK36</f>
        <v>38296089</v>
      </c>
      <c r="AM36" s="3">
        <f t="shared" si="2"/>
        <v>38296.089</v>
      </c>
      <c r="AO36" s="3">
        <v>42922657</v>
      </c>
      <c r="AP36" s="3">
        <v>2150165</v>
      </c>
      <c r="AQ36" s="3">
        <f>AO36-AP36</f>
        <v>40772492</v>
      </c>
      <c r="AR36" s="3">
        <f t="shared" si="3"/>
        <v>40772.492</v>
      </c>
      <c r="AT36" s="3">
        <v>46110965.160000004</v>
      </c>
      <c r="AU36" s="3">
        <v>2241430</v>
      </c>
      <c r="AV36" s="3">
        <f>AT36-AU36</f>
        <v>43869535.160000004</v>
      </c>
      <c r="AW36" s="3">
        <f t="shared" si="4"/>
        <v>43869.53516000001</v>
      </c>
      <c r="AY36" s="3">
        <v>47685054.99000001</v>
      </c>
      <c r="AZ36" s="3">
        <v>2774097</v>
      </c>
      <c r="BA36" s="3">
        <f>AY36-AZ36</f>
        <v>44910957.99000001</v>
      </c>
      <c r="BB36" s="3">
        <f t="shared" si="5"/>
        <v>44910.95799000001</v>
      </c>
      <c r="BD36" s="3">
        <v>50060283.61000001</v>
      </c>
      <c r="BE36" s="3">
        <v>2887089</v>
      </c>
      <c r="BF36" s="3">
        <f>BD36-BE36</f>
        <v>47173194.61000001</v>
      </c>
      <c r="BG36" s="3">
        <f>BF36/1000</f>
        <v>47173.194610000006</v>
      </c>
      <c r="BI36" s="3">
        <v>52369625.55</v>
      </c>
      <c r="BJ36" s="286">
        <v>3108492.2</v>
      </c>
      <c r="BK36" s="3">
        <f>BI36-BJ36</f>
        <v>49261133.349999994</v>
      </c>
      <c r="BL36" s="3">
        <f>BK36/1000</f>
        <v>49261.13335</v>
      </c>
    </row>
    <row r="37" spans="1:64" ht="12.75">
      <c r="A37" s="1" t="s">
        <v>27</v>
      </c>
      <c r="B37" s="14">
        <v>131291</v>
      </c>
      <c r="C37" s="14">
        <v>142158</v>
      </c>
      <c r="D37" s="14">
        <v>148692</v>
      </c>
      <c r="E37" s="14">
        <v>159438</v>
      </c>
      <c r="F37" s="14">
        <v>171589</v>
      </c>
      <c r="G37" s="14">
        <v>189549.332</v>
      </c>
      <c r="H37" s="14">
        <v>204554.22872999997</v>
      </c>
      <c r="I37" s="14">
        <v>232378.16420000003</v>
      </c>
      <c r="J37" s="14">
        <v>239699.79889</v>
      </c>
      <c r="K37" s="14">
        <v>248756.3244</v>
      </c>
      <c r="L37" s="244">
        <f>(K37-J37)*100/J37</f>
        <v>3.778278309760332</v>
      </c>
      <c r="M37" s="244">
        <f>(K37-AC37)*100/AC37</f>
        <v>96.83826391086916</v>
      </c>
      <c r="N37" s="14">
        <v>50697</v>
      </c>
      <c r="O37" s="14">
        <v>55155</v>
      </c>
      <c r="P37" s="14">
        <v>57715</v>
      </c>
      <c r="Q37" s="14">
        <v>63304</v>
      </c>
      <c r="R37" s="14">
        <v>68625</v>
      </c>
      <c r="S37" s="14">
        <f>84539-10243</f>
        <v>74296</v>
      </c>
      <c r="T37" s="14">
        <f>90248-11322</f>
        <v>78926</v>
      </c>
      <c r="U37" s="14">
        <v>83333</v>
      </c>
      <c r="V37" s="14">
        <f>98214.761-10998.266</f>
        <v>87216.495</v>
      </c>
      <c r="W37" s="14">
        <v>94202</v>
      </c>
      <c r="X37" s="203">
        <v>99412</v>
      </c>
      <c r="Y37" s="14">
        <f>110582.043-9899.971</f>
        <v>100682.072</v>
      </c>
      <c r="Z37" s="14">
        <v>103725</v>
      </c>
      <c r="AA37" s="14">
        <v>109580</v>
      </c>
      <c r="AB37" s="14">
        <v>119573</v>
      </c>
      <c r="AC37" s="14">
        <v>126376</v>
      </c>
      <c r="AD37" s="14"/>
      <c r="AE37" s="30">
        <v>167660385</v>
      </c>
      <c r="AF37" s="156">
        <v>8222574</v>
      </c>
      <c r="AG37" s="3">
        <f>AE37-AF37</f>
        <v>159437811</v>
      </c>
      <c r="AH37" s="3">
        <f t="shared" si="1"/>
        <v>159437.811</v>
      </c>
      <c r="AJ37" s="3">
        <v>180080802</v>
      </c>
      <c r="AK37" s="3">
        <v>8491439</v>
      </c>
      <c r="AL37" s="3">
        <f>AJ37-AK37</f>
        <v>171589363</v>
      </c>
      <c r="AM37" s="3">
        <f t="shared" si="2"/>
        <v>171589.363</v>
      </c>
      <c r="AO37" s="3">
        <v>198228389</v>
      </c>
      <c r="AP37" s="3">
        <v>8679057</v>
      </c>
      <c r="AQ37" s="3">
        <f>AO37-AP37</f>
        <v>189549332</v>
      </c>
      <c r="AR37" s="3">
        <f t="shared" si="3"/>
        <v>189549.332</v>
      </c>
      <c r="AT37" s="3">
        <v>214168203.72999996</v>
      </c>
      <c r="AU37" s="3">
        <v>9613975</v>
      </c>
      <c r="AV37" s="3">
        <f>AT37-AU37</f>
        <v>204554228.72999996</v>
      </c>
      <c r="AW37" s="3">
        <f t="shared" si="4"/>
        <v>204554.22872999997</v>
      </c>
      <c r="AY37" s="3">
        <v>244887477.20000002</v>
      </c>
      <c r="AZ37" s="3">
        <v>12509313</v>
      </c>
      <c r="BA37" s="3">
        <f>AY37-AZ37</f>
        <v>232378164.20000002</v>
      </c>
      <c r="BB37" s="3">
        <f t="shared" si="5"/>
        <v>232378.16420000003</v>
      </c>
      <c r="BD37" s="3">
        <v>253140846.89000002</v>
      </c>
      <c r="BE37" s="3">
        <v>13441048</v>
      </c>
      <c r="BF37" s="3">
        <f>BD37-BE37</f>
        <v>239699798.89000002</v>
      </c>
      <c r="BG37" s="3">
        <f>BF37/1000</f>
        <v>239699.79889</v>
      </c>
      <c r="BI37" s="3">
        <v>264255325.56</v>
      </c>
      <c r="BJ37" s="286">
        <v>15499001.16</v>
      </c>
      <c r="BK37" s="3">
        <f>BI37-BJ37</f>
        <v>248756324.4</v>
      </c>
      <c r="BL37" s="3">
        <f>BK37/1000</f>
        <v>248756.3244</v>
      </c>
    </row>
    <row r="38" spans="1:64" ht="12.75">
      <c r="A38" s="1" t="s">
        <v>28</v>
      </c>
      <c r="B38" s="14">
        <v>98569</v>
      </c>
      <c r="C38" s="14">
        <v>102586</v>
      </c>
      <c r="D38" s="14">
        <v>108863</v>
      </c>
      <c r="E38" s="14">
        <v>117454</v>
      </c>
      <c r="F38" s="14">
        <v>125513</v>
      </c>
      <c r="G38" s="14">
        <v>136809.283</v>
      </c>
      <c r="H38" s="14">
        <v>150517.81188000002</v>
      </c>
      <c r="I38" s="14">
        <v>165831.84765</v>
      </c>
      <c r="J38" s="14">
        <v>171070.73019000003</v>
      </c>
      <c r="K38" s="14">
        <v>174663.16194</v>
      </c>
      <c r="L38" s="244">
        <f>(K38-J38)*100/J38</f>
        <v>2.0999686772892234</v>
      </c>
      <c r="M38" s="244">
        <f>(K38-AC38)*100/AC38</f>
        <v>91.21261365154085</v>
      </c>
      <c r="N38" s="14">
        <v>30174</v>
      </c>
      <c r="O38" s="14">
        <v>32256</v>
      </c>
      <c r="P38" s="14">
        <v>35004</v>
      </c>
      <c r="Q38" s="14">
        <v>39485</v>
      </c>
      <c r="R38" s="14">
        <v>42868</v>
      </c>
      <c r="S38" s="14">
        <f>55246-6404</f>
        <v>48842</v>
      </c>
      <c r="T38" s="14">
        <f>60831-7247</f>
        <v>53584</v>
      </c>
      <c r="U38" s="14">
        <v>55619</v>
      </c>
      <c r="V38" s="14">
        <f>65836.282-7822.439</f>
        <v>58013.84300000001</v>
      </c>
      <c r="W38" s="14">
        <v>63466</v>
      </c>
      <c r="X38" s="203">
        <v>66132</v>
      </c>
      <c r="Y38" s="14">
        <f>74391.684-6955.611</f>
        <v>67436.07299999999</v>
      </c>
      <c r="Z38" s="14">
        <v>71778</v>
      </c>
      <c r="AA38" s="14">
        <v>78871</v>
      </c>
      <c r="AB38" s="14">
        <v>84127</v>
      </c>
      <c r="AC38" s="14">
        <v>91345</v>
      </c>
      <c r="AD38" s="14"/>
      <c r="AE38" s="30">
        <v>123648867</v>
      </c>
      <c r="AF38" s="156">
        <v>6194533</v>
      </c>
      <c r="AG38" s="3">
        <f>AE38-AF38</f>
        <v>117454334</v>
      </c>
      <c r="AH38" s="3">
        <f t="shared" si="1"/>
        <v>117454.334</v>
      </c>
      <c r="AJ38" s="3">
        <v>131981379</v>
      </c>
      <c r="AK38" s="3">
        <v>6468103</v>
      </c>
      <c r="AL38" s="3">
        <f>AJ38-AK38</f>
        <v>125513276</v>
      </c>
      <c r="AM38" s="3">
        <f t="shared" si="2"/>
        <v>125513.276</v>
      </c>
      <c r="AO38" s="3">
        <v>143591761</v>
      </c>
      <c r="AP38" s="3">
        <v>6782478</v>
      </c>
      <c r="AQ38" s="3">
        <f>AO38-AP38</f>
        <v>136809283</v>
      </c>
      <c r="AR38" s="3">
        <f t="shared" si="3"/>
        <v>136809.283</v>
      </c>
      <c r="AT38" s="3">
        <v>157995793.88000003</v>
      </c>
      <c r="AU38" s="3">
        <v>7477982</v>
      </c>
      <c r="AV38" s="3">
        <f>AT38-AU38</f>
        <v>150517811.88000003</v>
      </c>
      <c r="AW38" s="3">
        <f t="shared" si="4"/>
        <v>150517.81188000002</v>
      </c>
      <c r="AY38" s="3">
        <v>175327218.65</v>
      </c>
      <c r="AZ38" s="3">
        <v>9495371</v>
      </c>
      <c r="BA38" s="3">
        <f>AY38-AZ38</f>
        <v>165831847.65</v>
      </c>
      <c r="BB38" s="3">
        <f t="shared" si="5"/>
        <v>165831.84765</v>
      </c>
      <c r="BD38" s="3">
        <v>181461183.19000003</v>
      </c>
      <c r="BE38" s="3">
        <v>10390453</v>
      </c>
      <c r="BF38" s="3">
        <f>BD38-BE38</f>
        <v>171070730.19000003</v>
      </c>
      <c r="BG38" s="3">
        <f>BF38/1000</f>
        <v>171070.73019000003</v>
      </c>
      <c r="BI38" s="3">
        <v>186184084.37</v>
      </c>
      <c r="BJ38" s="287">
        <v>11520922.43</v>
      </c>
      <c r="BK38" s="3">
        <f>BI38-BJ38</f>
        <v>174663161.94</v>
      </c>
      <c r="BL38" s="3">
        <f>BK38/1000</f>
        <v>174663.16194</v>
      </c>
    </row>
    <row r="39" spans="1:64" ht="12.75">
      <c r="A39" s="17" t="s">
        <v>29</v>
      </c>
      <c r="B39" s="14">
        <v>52562</v>
      </c>
      <c r="C39" s="14">
        <v>58213</v>
      </c>
      <c r="D39" s="14">
        <v>63505</v>
      </c>
      <c r="E39" s="14">
        <v>66590</v>
      </c>
      <c r="F39" s="14">
        <v>72738</v>
      </c>
      <c r="G39" s="14">
        <v>76913.425</v>
      </c>
      <c r="H39" s="14">
        <v>84478.43213000003</v>
      </c>
      <c r="I39" s="14">
        <v>90933.96182000003</v>
      </c>
      <c r="J39" s="14">
        <v>95938.99912000002</v>
      </c>
      <c r="K39" s="14">
        <v>96359.72747999999</v>
      </c>
      <c r="L39" s="244">
        <f>(K39-J39)*100/J39</f>
        <v>0.43853736630472834</v>
      </c>
      <c r="M39" s="244">
        <f>(K39-AC39)*100/AC39</f>
        <v>99.20970722126891</v>
      </c>
      <c r="N39" s="24">
        <v>16505</v>
      </c>
      <c r="O39" s="24">
        <v>18070</v>
      </c>
      <c r="P39" s="24">
        <v>20475</v>
      </c>
      <c r="Q39" s="24">
        <v>22506</v>
      </c>
      <c r="R39" s="24">
        <v>24102</v>
      </c>
      <c r="S39" s="24">
        <f>30221-3505</f>
        <v>26716</v>
      </c>
      <c r="T39" s="24">
        <f>33013-3907</f>
        <v>29106</v>
      </c>
      <c r="U39" s="24">
        <v>30853</v>
      </c>
      <c r="V39" s="24">
        <f>35280.245-4013.596</f>
        <v>31266.649</v>
      </c>
      <c r="W39" s="24">
        <v>34806</v>
      </c>
      <c r="X39" s="203">
        <v>36028</v>
      </c>
      <c r="Y39" s="14">
        <f>41036.102-3658.713</f>
        <v>37377.388999999996</v>
      </c>
      <c r="Z39" s="24">
        <v>39739</v>
      </c>
      <c r="AA39" s="14">
        <v>42459</v>
      </c>
      <c r="AB39" s="14">
        <v>46028</v>
      </c>
      <c r="AC39" s="14">
        <v>48371</v>
      </c>
      <c r="AD39" s="14"/>
      <c r="AE39" s="3">
        <v>69982028</v>
      </c>
      <c r="AF39" s="107">
        <v>3391645</v>
      </c>
      <c r="AG39" s="3">
        <f>AE39-AF39</f>
        <v>66590383</v>
      </c>
      <c r="AH39" s="3">
        <f t="shared" si="1"/>
        <v>66590.383</v>
      </c>
      <c r="AJ39" s="3">
        <v>76311579</v>
      </c>
      <c r="AK39" s="3">
        <v>3573389</v>
      </c>
      <c r="AL39" s="3">
        <f>AJ39-AK39</f>
        <v>72738190</v>
      </c>
      <c r="AM39" s="3">
        <f t="shared" si="2"/>
        <v>72738.19</v>
      </c>
      <c r="AO39" s="3">
        <v>80586529</v>
      </c>
      <c r="AP39" s="3">
        <v>3673104</v>
      </c>
      <c r="AQ39" s="3">
        <f>AO39-AP39</f>
        <v>76913425</v>
      </c>
      <c r="AR39" s="3">
        <f t="shared" si="3"/>
        <v>76913.425</v>
      </c>
      <c r="AT39" s="3">
        <v>88593319.13000003</v>
      </c>
      <c r="AU39" s="3">
        <v>4114887</v>
      </c>
      <c r="AV39" s="3">
        <f>AT39-AU39</f>
        <v>84478432.13000003</v>
      </c>
      <c r="AW39" s="3">
        <f t="shared" si="4"/>
        <v>84478.43213000003</v>
      </c>
      <c r="AY39" s="3">
        <v>96177302.82000002</v>
      </c>
      <c r="AZ39" s="3">
        <v>5243341</v>
      </c>
      <c r="BA39" s="3">
        <f>AY39-AZ39</f>
        <v>90933961.82000002</v>
      </c>
      <c r="BB39" s="3">
        <f t="shared" si="5"/>
        <v>90933.96182000003</v>
      </c>
      <c r="BD39" s="3">
        <v>101716563.12000002</v>
      </c>
      <c r="BE39" s="3">
        <v>5777564</v>
      </c>
      <c r="BF39" s="3">
        <f>BD39-BE39</f>
        <v>95938999.12000002</v>
      </c>
      <c r="BG39" s="3">
        <f>BF39/1000</f>
        <v>95938.99912000002</v>
      </c>
      <c r="BI39" s="3">
        <v>103102986.28999999</v>
      </c>
      <c r="BJ39" s="288">
        <v>6743258.81</v>
      </c>
      <c r="BK39" s="3">
        <f>BI39-BJ39</f>
        <v>96359727.47999999</v>
      </c>
      <c r="BL39" s="3">
        <f>BK39/1000</f>
        <v>96359.72747999999</v>
      </c>
    </row>
    <row r="40" spans="1:28" ht="12.75">
      <c r="A40" s="1" t="s">
        <v>295</v>
      </c>
      <c r="B40" s="19"/>
      <c r="C40" s="19"/>
      <c r="D40" s="19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5"/>
      <c r="R40" s="19"/>
      <c r="S40" s="19"/>
      <c r="T40" s="19"/>
      <c r="X40" s="19"/>
      <c r="Y40" s="204"/>
      <c r="AA40" s="19"/>
      <c r="AB40" s="208"/>
    </row>
    <row r="41" spans="2:28" ht="12.75">
      <c r="B41" s="14"/>
      <c r="C41" s="14"/>
      <c r="D41" s="14"/>
      <c r="E41" s="14"/>
      <c r="P41" s="15"/>
      <c r="Q41" s="3"/>
      <c r="R41" s="14"/>
      <c r="S41" s="14"/>
      <c r="T41" s="14"/>
      <c r="X41" s="14"/>
      <c r="Y41" s="203"/>
      <c r="AA41" s="14"/>
      <c r="AB41" s="14"/>
    </row>
    <row r="42" spans="2:28" ht="15.75">
      <c r="B42" s="14"/>
      <c r="C42" s="14"/>
      <c r="D42" s="14"/>
      <c r="E42" s="14"/>
      <c r="N42" s="11"/>
      <c r="O42" s="11"/>
      <c r="P42" s="74"/>
      <c r="R42" s="14"/>
      <c r="S42" s="14"/>
      <c r="T42" s="14"/>
      <c r="X42" s="14"/>
      <c r="Y42" s="203"/>
      <c r="AA42" s="14"/>
      <c r="AB42" s="14"/>
    </row>
    <row r="43" spans="14:16" ht="15.75">
      <c r="N43" s="14"/>
      <c r="O43" s="14"/>
      <c r="P43" s="75"/>
    </row>
    <row r="44" spans="14:16" ht="15.75">
      <c r="N44" s="14"/>
      <c r="O44" s="14"/>
      <c r="P44" s="76"/>
    </row>
    <row r="45" spans="7:16" ht="15.75">
      <c r="G45" s="72"/>
      <c r="H45" s="72"/>
      <c r="I45" s="72"/>
      <c r="J45" s="72"/>
      <c r="K45" s="72"/>
      <c r="L45" s="72"/>
      <c r="M45" s="72"/>
      <c r="N45" s="14"/>
      <c r="O45" s="14"/>
      <c r="P45" s="76"/>
    </row>
    <row r="46" spans="7:16" ht="15.75">
      <c r="G46" s="72"/>
      <c r="H46" s="72"/>
      <c r="I46" s="72"/>
      <c r="J46" s="72"/>
      <c r="K46" s="72"/>
      <c r="L46" s="72"/>
      <c r="M46" s="72"/>
      <c r="N46" s="14"/>
      <c r="O46" s="14"/>
      <c r="P46" s="76"/>
    </row>
    <row r="47" spans="7:16" ht="15.75">
      <c r="G47" s="72"/>
      <c r="H47" s="72"/>
      <c r="I47" s="72"/>
      <c r="J47" s="72"/>
      <c r="K47" s="72"/>
      <c r="L47" s="72"/>
      <c r="M47" s="72"/>
      <c r="N47" s="14"/>
      <c r="O47" s="14"/>
      <c r="P47" s="76"/>
    </row>
    <row r="48" spans="7:16" ht="15.75">
      <c r="G48" s="72"/>
      <c r="H48" s="72"/>
      <c r="I48" s="72"/>
      <c r="J48" s="72"/>
      <c r="K48" s="72"/>
      <c r="L48" s="72"/>
      <c r="M48" s="72"/>
      <c r="N48" s="14"/>
      <c r="O48" s="14"/>
      <c r="P48" s="76"/>
    </row>
    <row r="49" spans="7:16" ht="15.75">
      <c r="G49" s="72"/>
      <c r="H49" s="72"/>
      <c r="I49" s="72"/>
      <c r="J49" s="72"/>
      <c r="K49" s="72"/>
      <c r="L49" s="72"/>
      <c r="M49" s="72"/>
      <c r="N49" s="14"/>
      <c r="O49" s="14"/>
      <c r="P49" s="76"/>
    </row>
    <row r="50" spans="7:16" ht="15.75">
      <c r="G50" s="72"/>
      <c r="H50" s="72"/>
      <c r="I50" s="72"/>
      <c r="J50" s="72"/>
      <c r="K50" s="72"/>
      <c r="L50" s="72"/>
      <c r="M50" s="72"/>
      <c r="N50" s="14"/>
      <c r="O50" s="14"/>
      <c r="P50" s="76"/>
    </row>
    <row r="51" spans="7:16" ht="15.75">
      <c r="G51" s="72"/>
      <c r="H51" s="72"/>
      <c r="I51" s="72"/>
      <c r="J51" s="72"/>
      <c r="K51" s="72"/>
      <c r="L51" s="72"/>
      <c r="M51" s="72"/>
      <c r="N51" s="14"/>
      <c r="O51" s="14"/>
      <c r="P51" s="76"/>
    </row>
    <row r="52" spans="7:16" ht="15.75">
      <c r="G52" s="72"/>
      <c r="H52" s="72"/>
      <c r="I52" s="72"/>
      <c r="J52" s="72"/>
      <c r="K52" s="72"/>
      <c r="L52" s="72"/>
      <c r="M52" s="72"/>
      <c r="N52" s="14"/>
      <c r="O52" s="14"/>
      <c r="P52" s="76"/>
    </row>
    <row r="53" spans="7:16" ht="15.75">
      <c r="G53" s="72"/>
      <c r="H53" s="72"/>
      <c r="I53" s="72"/>
      <c r="J53" s="72"/>
      <c r="K53" s="72"/>
      <c r="L53" s="72"/>
      <c r="M53" s="72"/>
      <c r="N53" s="14"/>
      <c r="O53" s="14"/>
      <c r="P53" s="76"/>
    </row>
    <row r="54" spans="7:16" ht="15.75">
      <c r="G54" s="72"/>
      <c r="H54" s="72"/>
      <c r="I54" s="72"/>
      <c r="J54" s="72"/>
      <c r="K54" s="72"/>
      <c r="L54" s="72"/>
      <c r="M54" s="72"/>
      <c r="N54" s="14"/>
      <c r="O54" s="14"/>
      <c r="P54" s="76"/>
    </row>
    <row r="55" spans="7:16" ht="15.75">
      <c r="G55" s="72"/>
      <c r="H55" s="72"/>
      <c r="I55" s="72"/>
      <c r="J55" s="72"/>
      <c r="K55" s="72"/>
      <c r="L55" s="72"/>
      <c r="M55" s="72"/>
      <c r="N55" s="14"/>
      <c r="O55" s="14"/>
      <c r="P55" s="76"/>
    </row>
    <row r="56" spans="7:16" ht="15.75">
      <c r="G56" s="72"/>
      <c r="H56" s="72"/>
      <c r="I56" s="72"/>
      <c r="J56" s="72"/>
      <c r="K56" s="72"/>
      <c r="L56" s="72"/>
      <c r="M56" s="72"/>
      <c r="N56" s="14"/>
      <c r="O56" s="14"/>
      <c r="P56" s="76"/>
    </row>
    <row r="57" spans="7:16" ht="15.75">
      <c r="G57" s="72"/>
      <c r="H57" s="72"/>
      <c r="I57" s="72"/>
      <c r="J57" s="72"/>
      <c r="K57" s="72"/>
      <c r="L57" s="72"/>
      <c r="M57" s="72"/>
      <c r="N57" s="14"/>
      <c r="O57" s="14"/>
      <c r="P57" s="76"/>
    </row>
    <row r="58" spans="7:16" ht="15.75">
      <c r="G58" s="72"/>
      <c r="H58" s="72"/>
      <c r="I58" s="72"/>
      <c r="J58" s="72"/>
      <c r="K58" s="72"/>
      <c r="L58" s="72"/>
      <c r="M58" s="72"/>
      <c r="N58" s="14"/>
      <c r="O58" s="14"/>
      <c r="P58" s="76"/>
    </row>
    <row r="59" spans="7:16" ht="15.75">
      <c r="G59" s="72"/>
      <c r="H59" s="72"/>
      <c r="I59" s="72"/>
      <c r="J59" s="72"/>
      <c r="K59" s="72"/>
      <c r="L59" s="72"/>
      <c r="M59" s="72"/>
      <c r="N59" s="14"/>
      <c r="O59" s="14"/>
      <c r="P59" s="76"/>
    </row>
    <row r="60" spans="7:16" ht="15.75">
      <c r="G60" s="72"/>
      <c r="H60" s="72"/>
      <c r="I60" s="72"/>
      <c r="J60" s="72"/>
      <c r="K60" s="72"/>
      <c r="L60" s="72"/>
      <c r="M60" s="72"/>
      <c r="N60" s="14"/>
      <c r="O60" s="14"/>
      <c r="P60" s="76"/>
    </row>
    <row r="61" spans="7:16" ht="15.75">
      <c r="G61" s="72"/>
      <c r="H61" s="72"/>
      <c r="I61" s="72"/>
      <c r="J61" s="72"/>
      <c r="K61" s="72"/>
      <c r="L61" s="72"/>
      <c r="M61" s="72"/>
      <c r="N61" s="14"/>
      <c r="O61" s="14"/>
      <c r="P61" s="76"/>
    </row>
    <row r="62" spans="7:16" ht="15.75">
      <c r="G62" s="72"/>
      <c r="H62" s="72"/>
      <c r="I62" s="72"/>
      <c r="J62" s="72"/>
      <c r="K62" s="72"/>
      <c r="L62" s="72"/>
      <c r="M62" s="72"/>
      <c r="N62" s="14"/>
      <c r="O62" s="14"/>
      <c r="P62" s="76"/>
    </row>
    <row r="63" spans="7:16" ht="15.75">
      <c r="G63" s="72"/>
      <c r="H63" s="72"/>
      <c r="I63" s="72"/>
      <c r="J63" s="72"/>
      <c r="K63" s="72"/>
      <c r="L63" s="72"/>
      <c r="M63" s="72"/>
      <c r="N63" s="14"/>
      <c r="O63" s="14"/>
      <c r="P63" s="76"/>
    </row>
    <row r="64" spans="7:16" ht="15.75">
      <c r="G64" s="72"/>
      <c r="H64" s="72"/>
      <c r="I64" s="72"/>
      <c r="J64" s="72"/>
      <c r="K64" s="72"/>
      <c r="L64" s="72"/>
      <c r="M64" s="72"/>
      <c r="N64" s="14"/>
      <c r="O64" s="14"/>
      <c r="P64" s="76"/>
    </row>
    <row r="65" spans="7:16" ht="15.75">
      <c r="G65" s="72"/>
      <c r="H65" s="72"/>
      <c r="I65" s="72"/>
      <c r="J65" s="72"/>
      <c r="K65" s="72"/>
      <c r="L65" s="72"/>
      <c r="M65" s="72"/>
      <c r="N65" s="14"/>
      <c r="O65" s="14"/>
      <c r="P65" s="76"/>
    </row>
    <row r="66" spans="7:16" ht="15.75">
      <c r="G66" s="72"/>
      <c r="H66" s="72"/>
      <c r="I66" s="72"/>
      <c r="J66" s="72"/>
      <c r="K66" s="72"/>
      <c r="L66" s="72"/>
      <c r="M66" s="72"/>
      <c r="N66" s="14"/>
      <c r="O66" s="14"/>
      <c r="P66" s="76"/>
    </row>
    <row r="67" spans="7:16" ht="15.75">
      <c r="G67" s="72"/>
      <c r="H67" s="72"/>
      <c r="I67" s="72"/>
      <c r="J67" s="72"/>
      <c r="K67" s="72"/>
      <c r="L67" s="72"/>
      <c r="M67" s="72"/>
      <c r="N67" s="14"/>
      <c r="O67" s="14"/>
      <c r="P67" s="76"/>
    </row>
    <row r="68" spans="7:16" ht="15.75">
      <c r="G68" s="72"/>
      <c r="H68" s="72"/>
      <c r="I68" s="72"/>
      <c r="J68" s="72"/>
      <c r="K68" s="72"/>
      <c r="L68" s="72"/>
      <c r="M68" s="72"/>
      <c r="N68" s="14"/>
      <c r="O68" s="14"/>
      <c r="P68" s="76"/>
    </row>
    <row r="69" spans="7:16" ht="15.75">
      <c r="G69" s="72"/>
      <c r="H69" s="72"/>
      <c r="I69" s="72"/>
      <c r="J69" s="72"/>
      <c r="K69" s="72"/>
      <c r="L69" s="72"/>
      <c r="M69" s="72"/>
      <c r="N69" s="14"/>
      <c r="O69" s="14"/>
      <c r="P69" s="76"/>
    </row>
    <row r="70" spans="7:16" ht="15.75">
      <c r="G70" s="72"/>
      <c r="H70" s="72"/>
      <c r="I70" s="72"/>
      <c r="J70" s="72"/>
      <c r="K70" s="72"/>
      <c r="L70" s="72"/>
      <c r="M70" s="72"/>
      <c r="N70" s="14"/>
      <c r="O70" s="14"/>
      <c r="P70" s="76"/>
    </row>
    <row r="71" spans="7:16" ht="15.75">
      <c r="G71" s="72"/>
      <c r="H71" s="72"/>
      <c r="I71" s="72"/>
      <c r="J71" s="72"/>
      <c r="K71" s="72"/>
      <c r="L71" s="72"/>
      <c r="M71" s="72"/>
      <c r="N71" s="14"/>
      <c r="O71" s="14"/>
      <c r="P71" s="77"/>
    </row>
    <row r="72" spans="7:15" ht="15.75">
      <c r="G72" s="73"/>
      <c r="H72" s="72"/>
      <c r="I72" s="72"/>
      <c r="J72" s="72"/>
      <c r="K72" s="72"/>
      <c r="L72" s="72"/>
      <c r="M72" s="72"/>
      <c r="N72" s="72"/>
      <c r="O72" s="72"/>
    </row>
  </sheetData>
  <sheetProtection password="CAF5" sheet="1"/>
  <mergeCells count="9">
    <mergeCell ref="BI7:BL7"/>
    <mergeCell ref="A4:M4"/>
    <mergeCell ref="BD7:BG7"/>
    <mergeCell ref="L7:M7"/>
    <mergeCell ref="AY7:BB7"/>
    <mergeCell ref="AT7:AW7"/>
    <mergeCell ref="AO7:AR7"/>
    <mergeCell ref="AE7:AH7"/>
    <mergeCell ref="AJ7:AM7"/>
  </mergeCells>
  <printOptions/>
  <pageMargins left="0.54" right="0.45" top="1" bottom="1" header="0.5" footer="0.5"/>
  <pageSetup fitToHeight="1" fitToWidth="1" orientation="landscape" scale="82" r:id="rId3"/>
  <headerFooter scaleWithDoc="0" alignWithMargins="0">
    <oddFooter>&amp;L&amp;"Arial,Italic"&amp;10MSDE-LFRO   10 / 2011&amp;C&amp;"Arial,Regular"&amp;10- 7 -&amp;R&amp;"Arial,Italic"&amp;10Selected Financial Data - Part 4</oddFooter>
  </headerFooter>
  <rowBreaks count="1" manualBreakCount="1">
    <brk id="41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4"/>
  <sheetViews>
    <sheetView zoomScalePageLayoutView="0" workbookViewId="0" topLeftCell="A33">
      <selection activeCell="C44" sqref="C44"/>
    </sheetView>
  </sheetViews>
  <sheetFormatPr defaultColWidth="10.00390625" defaultRowHeight="15.75"/>
  <cols>
    <col min="1" max="1" width="12.875" style="1" customWidth="1"/>
    <col min="2" max="11" width="12.625" style="1" customWidth="1"/>
    <col min="12" max="13" width="6.625" style="1" customWidth="1"/>
    <col min="14" max="14" width="9.125" style="1" customWidth="1"/>
    <col min="15" max="20" width="10.125" style="1" customWidth="1"/>
    <col min="21" max="21" width="10.125" style="3" customWidth="1"/>
    <col min="22" max="22" width="10.125" style="1" customWidth="1"/>
    <col min="23" max="23" width="12.50390625" style="3" bestFit="1" customWidth="1"/>
    <col min="24" max="24" width="12.625" style="1" customWidth="1"/>
    <col min="25" max="26" width="12.50390625" style="3" customWidth="1"/>
    <col min="27" max="27" width="10.875" style="3" bestFit="1" customWidth="1"/>
    <col min="28" max="29" width="12.625" style="1" customWidth="1"/>
    <col min="30" max="31" width="10.875" style="3" customWidth="1"/>
    <col min="32" max="32" width="12.50390625" style="3" bestFit="1" customWidth="1"/>
    <col min="33" max="33" width="10.125" style="3" customWidth="1"/>
    <col min="34" max="34" width="11.50390625" style="3" customWidth="1"/>
    <col min="35" max="36" width="12.50390625" style="3" bestFit="1" customWidth="1"/>
    <col min="37" max="38" width="10.125" style="3" customWidth="1"/>
    <col min="39" max="39" width="13.375" style="3" customWidth="1"/>
    <col min="40" max="42" width="10.125" style="3" customWidth="1"/>
    <col min="43" max="43" width="12.75390625" style="3" customWidth="1"/>
    <col min="44" max="45" width="10.125" style="3" customWidth="1"/>
    <col min="46" max="46" width="12.50390625" style="3" bestFit="1" customWidth="1"/>
    <col min="47" max="47" width="10.125" style="3" customWidth="1"/>
    <col min="48" max="48" width="13.75390625" style="3" customWidth="1"/>
    <col min="49" max="49" width="11.25390625" style="3" bestFit="1" customWidth="1"/>
    <col min="50" max="50" width="12.50390625" style="3" bestFit="1" customWidth="1"/>
    <col min="51" max="52" width="10.125" style="3" customWidth="1"/>
    <col min="53" max="53" width="12.50390625" style="3" bestFit="1" customWidth="1"/>
    <col min="54" max="54" width="11.125" style="3" customWidth="1"/>
    <col min="55" max="55" width="11.75390625" style="3" customWidth="1"/>
    <col min="56" max="56" width="12.00390625" style="3" customWidth="1"/>
    <col min="57" max="57" width="12.50390625" style="3" bestFit="1" customWidth="1"/>
    <col min="58" max="58" width="11.75390625" style="3" customWidth="1"/>
    <col min="59" max="59" width="6.75390625" style="3" customWidth="1"/>
    <col min="60" max="60" width="12.625" style="3" customWidth="1"/>
    <col min="61" max="63" width="10.00390625" style="3" customWidth="1"/>
    <col min="64" max="64" width="12.375" style="3" customWidth="1"/>
    <col min="65" max="66" width="10.00390625" style="3" customWidth="1"/>
    <col min="67" max="67" width="12.50390625" style="3" bestFit="1" customWidth="1"/>
    <col min="68" max="68" width="10.00390625" style="3" customWidth="1"/>
    <col min="69" max="70" width="11.25390625" style="3" bestFit="1" customWidth="1"/>
    <col min="71" max="71" width="12.50390625" style="3" bestFit="1" customWidth="1"/>
    <col min="72" max="72" width="14.25390625" style="3" bestFit="1" customWidth="1"/>
    <col min="73" max="73" width="10.00390625" style="3" customWidth="1"/>
    <col min="74" max="74" width="12.50390625" style="3" bestFit="1" customWidth="1"/>
    <col min="75" max="75" width="10.25390625" style="3" bestFit="1" customWidth="1"/>
    <col min="76" max="76" width="11.25390625" style="3" bestFit="1" customWidth="1"/>
    <col min="77" max="77" width="10.00390625" style="3" customWidth="1"/>
    <col min="78" max="78" width="12.50390625" style="3" bestFit="1" customWidth="1"/>
    <col min="79" max="16384" width="10.00390625" style="3" customWidth="1"/>
  </cols>
  <sheetData>
    <row r="1" spans="1:29" ht="15.75" customHeight="1">
      <c r="A1" s="115" t="s">
        <v>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1"/>
      <c r="P1" s="2"/>
      <c r="Q1" s="2"/>
      <c r="R1" s="2"/>
      <c r="V1" s="3"/>
      <c r="X1" s="201"/>
      <c r="AB1" s="201"/>
      <c r="AC1" s="201"/>
    </row>
    <row r="2" spans="1:29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P2" s="2"/>
      <c r="Q2" s="2"/>
      <c r="R2" s="2"/>
      <c r="V2" s="2"/>
      <c r="X2" s="2"/>
      <c r="AB2" s="68"/>
      <c r="AC2" s="68"/>
    </row>
    <row r="3" spans="1:29" ht="12.75">
      <c r="A3" s="115" t="s">
        <v>229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"/>
      <c r="P3" s="2"/>
      <c r="Q3" s="2"/>
      <c r="R3" s="2"/>
      <c r="V3" s="3"/>
      <c r="X3" s="10"/>
      <c r="AB3" s="68"/>
      <c r="AC3" s="68"/>
    </row>
    <row r="4" spans="1:36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201"/>
      <c r="P4" s="201"/>
      <c r="Q4" s="10"/>
      <c r="U4" s="1"/>
      <c r="W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1"/>
    </row>
    <row r="5" spans="32:74" ht="13.5" thickBot="1">
      <c r="AF5" s="322" t="s">
        <v>188</v>
      </c>
      <c r="AG5" s="322"/>
      <c r="AH5" s="322"/>
      <c r="AI5" s="322"/>
      <c r="AJ5" s="322"/>
      <c r="AK5" s="322"/>
      <c r="AM5" s="322" t="s">
        <v>195</v>
      </c>
      <c r="AN5" s="322"/>
      <c r="AO5" s="322"/>
      <c r="AP5" s="322"/>
      <c r="AQ5" s="322"/>
      <c r="AR5" s="322"/>
      <c r="AT5" s="322" t="s">
        <v>214</v>
      </c>
      <c r="AU5" s="322"/>
      <c r="AV5" s="322"/>
      <c r="AW5" s="322"/>
      <c r="AX5" s="322"/>
      <c r="AY5" s="322"/>
      <c r="BA5" s="322" t="s">
        <v>258</v>
      </c>
      <c r="BB5" s="322"/>
      <c r="BC5" s="322"/>
      <c r="BD5" s="322"/>
      <c r="BE5" s="322"/>
      <c r="BF5" s="322"/>
      <c r="BH5" s="322" t="s">
        <v>259</v>
      </c>
      <c r="BI5" s="322"/>
      <c r="BJ5" s="322"/>
      <c r="BK5" s="322"/>
      <c r="BL5" s="322"/>
      <c r="BM5" s="322"/>
      <c r="BO5" s="3" t="s">
        <v>271</v>
      </c>
      <c r="BV5" s="3" t="s">
        <v>286</v>
      </c>
    </row>
    <row r="6" spans="1:79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3" t="s">
        <v>170</v>
      </c>
      <c r="AG6" s="3" t="s">
        <v>170</v>
      </c>
      <c r="AH6" s="3" t="s">
        <v>173</v>
      </c>
      <c r="AI6" s="3" t="s">
        <v>173</v>
      </c>
      <c r="AJ6" s="320" t="s">
        <v>112</v>
      </c>
      <c r="AK6" s="320" t="s">
        <v>176</v>
      </c>
      <c r="AM6" s="3" t="s">
        <v>170</v>
      </c>
      <c r="AN6" s="3" t="s">
        <v>170</v>
      </c>
      <c r="AO6" s="3" t="s">
        <v>173</v>
      </c>
      <c r="AP6" s="3" t="s">
        <v>173</v>
      </c>
      <c r="AQ6" s="320" t="s">
        <v>112</v>
      </c>
      <c r="AR6" s="320" t="s">
        <v>176</v>
      </c>
      <c r="AT6" s="3" t="s">
        <v>170</v>
      </c>
      <c r="AU6" s="3" t="s">
        <v>170</v>
      </c>
      <c r="AV6" s="3" t="s">
        <v>173</v>
      </c>
      <c r="AW6" s="3" t="s">
        <v>173</v>
      </c>
      <c r="AX6" s="320" t="s">
        <v>112</v>
      </c>
      <c r="AY6" s="320" t="s">
        <v>176</v>
      </c>
      <c r="BA6" s="3" t="s">
        <v>170</v>
      </c>
      <c r="BB6" s="3" t="s">
        <v>170</v>
      </c>
      <c r="BC6" s="3" t="s">
        <v>173</v>
      </c>
      <c r="BD6" s="3" t="s">
        <v>173</v>
      </c>
      <c r="BE6" s="320" t="s">
        <v>112</v>
      </c>
      <c r="BF6" s="320" t="s">
        <v>176</v>
      </c>
      <c r="BH6" s="3" t="s">
        <v>170</v>
      </c>
      <c r="BI6" s="3" t="s">
        <v>170</v>
      </c>
      <c r="BJ6" s="3" t="s">
        <v>173</v>
      </c>
      <c r="BK6" s="3" t="s">
        <v>173</v>
      </c>
      <c r="BL6" s="320" t="s">
        <v>112</v>
      </c>
      <c r="BM6" s="320" t="s">
        <v>176</v>
      </c>
      <c r="BO6" s="3" t="s">
        <v>170</v>
      </c>
      <c r="BP6" s="3" t="s">
        <v>170</v>
      </c>
      <c r="BQ6" s="3" t="s">
        <v>173</v>
      </c>
      <c r="BR6" s="3" t="s">
        <v>173</v>
      </c>
      <c r="BS6" s="3" t="s">
        <v>112</v>
      </c>
      <c r="BT6" s="3" t="s">
        <v>176</v>
      </c>
      <c r="BV6" s="3" t="s">
        <v>170</v>
      </c>
      <c r="BW6" s="3" t="s">
        <v>170</v>
      </c>
      <c r="BX6" s="3" t="s">
        <v>173</v>
      </c>
      <c r="BY6" s="3" t="s">
        <v>173</v>
      </c>
      <c r="BZ6" s="3" t="s">
        <v>112</v>
      </c>
      <c r="CA6" s="3" t="s">
        <v>176</v>
      </c>
    </row>
    <row r="7" spans="1:77" ht="13.5" thickBot="1">
      <c r="A7" s="7"/>
      <c r="L7" s="315" t="s">
        <v>34</v>
      </c>
      <c r="M7" s="315"/>
      <c r="O7" s="7"/>
      <c r="P7" s="7"/>
      <c r="Q7" s="7"/>
      <c r="R7" s="7"/>
      <c r="S7" s="3"/>
      <c r="T7" s="7"/>
      <c r="U7" s="7"/>
      <c r="V7" s="7"/>
      <c r="W7" s="7"/>
      <c r="X7" s="7"/>
      <c r="Y7" s="7"/>
      <c r="Z7" s="7"/>
      <c r="AA7" s="7"/>
      <c r="AD7" s="1"/>
      <c r="AE7" s="1"/>
      <c r="AF7" s="3" t="s">
        <v>171</v>
      </c>
      <c r="AG7" s="3" t="s">
        <v>172</v>
      </c>
      <c r="AH7" s="3" t="s">
        <v>174</v>
      </c>
      <c r="AI7" s="3" t="s">
        <v>175</v>
      </c>
      <c r="AJ7" s="323"/>
      <c r="AK7" s="321"/>
      <c r="AM7" s="3" t="s">
        <v>171</v>
      </c>
      <c r="AN7" s="3" t="s">
        <v>172</v>
      </c>
      <c r="AO7" s="3" t="s">
        <v>174</v>
      </c>
      <c r="AP7" s="3" t="s">
        <v>175</v>
      </c>
      <c r="AQ7" s="323"/>
      <c r="AR7" s="321"/>
      <c r="AT7" s="3" t="s">
        <v>171</v>
      </c>
      <c r="AU7" s="3" t="s">
        <v>230</v>
      </c>
      <c r="AV7" s="3" t="s">
        <v>241</v>
      </c>
      <c r="AW7" s="3" t="s">
        <v>215</v>
      </c>
      <c r="AX7" s="323"/>
      <c r="AY7" s="321"/>
      <c r="BA7" s="3" t="s">
        <v>171</v>
      </c>
      <c r="BB7" s="3" t="s">
        <v>230</v>
      </c>
      <c r="BC7" s="3" t="s">
        <v>241</v>
      </c>
      <c r="BD7" s="3" t="s">
        <v>215</v>
      </c>
      <c r="BE7" s="323"/>
      <c r="BF7" s="321"/>
      <c r="BH7" s="3" t="s">
        <v>171</v>
      </c>
      <c r="BI7" s="3" t="s">
        <v>230</v>
      </c>
      <c r="BJ7" s="3" t="s">
        <v>241</v>
      </c>
      <c r="BK7" s="3" t="s">
        <v>215</v>
      </c>
      <c r="BL7" s="323"/>
      <c r="BM7" s="321"/>
      <c r="BO7" s="3" t="s">
        <v>171</v>
      </c>
      <c r="BP7" s="3" t="s">
        <v>230</v>
      </c>
      <c r="BQ7" s="3" t="s">
        <v>241</v>
      </c>
      <c r="BR7" s="3" t="s">
        <v>215</v>
      </c>
      <c r="BV7" s="3" t="s">
        <v>171</v>
      </c>
      <c r="BW7" s="3" t="s">
        <v>230</v>
      </c>
      <c r="BX7" s="3" t="s">
        <v>241</v>
      </c>
      <c r="BY7" s="3" t="s">
        <v>215</v>
      </c>
    </row>
    <row r="8" spans="1:79" ht="12.75">
      <c r="A8" s="7"/>
      <c r="B8" s="7"/>
      <c r="C8" s="7"/>
      <c r="D8" s="7"/>
      <c r="E8" s="7"/>
      <c r="F8" s="7"/>
      <c r="G8" s="7"/>
      <c r="H8" s="7"/>
      <c r="I8" s="7"/>
      <c r="J8" s="7"/>
      <c r="L8" s="10" t="s">
        <v>85</v>
      </c>
      <c r="M8" s="10" t="s">
        <v>86</v>
      </c>
      <c r="O8" s="7"/>
      <c r="P8" s="7"/>
      <c r="Q8" s="7"/>
      <c r="R8" s="7"/>
      <c r="S8" s="3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3" t="s">
        <v>108</v>
      </c>
      <c r="AG8" s="3" t="s">
        <v>111</v>
      </c>
      <c r="AH8" s="3" t="s">
        <v>109</v>
      </c>
      <c r="AI8" s="3" t="s">
        <v>109</v>
      </c>
      <c r="AJ8" s="110" t="s">
        <v>113</v>
      </c>
      <c r="AK8" s="110" t="s">
        <v>113</v>
      </c>
      <c r="AM8" s="3" t="s">
        <v>108</v>
      </c>
      <c r="AN8" s="3" t="s">
        <v>111</v>
      </c>
      <c r="AO8" s="3" t="s">
        <v>109</v>
      </c>
      <c r="AP8" s="3" t="s">
        <v>109</v>
      </c>
      <c r="AQ8" s="110" t="s">
        <v>113</v>
      </c>
      <c r="AR8" s="110" t="s">
        <v>113</v>
      </c>
      <c r="AT8" s="3" t="s">
        <v>108</v>
      </c>
      <c r="AU8" s="3" t="s">
        <v>111</v>
      </c>
      <c r="AV8" s="3" t="s">
        <v>109</v>
      </c>
      <c r="AW8" s="3" t="s">
        <v>109</v>
      </c>
      <c r="AX8" s="110" t="s">
        <v>113</v>
      </c>
      <c r="AY8" s="110" t="s">
        <v>113</v>
      </c>
      <c r="BA8" s="3" t="s">
        <v>108</v>
      </c>
      <c r="BB8" s="3" t="s">
        <v>111</v>
      </c>
      <c r="BC8" s="3" t="s">
        <v>109</v>
      </c>
      <c r="BD8" s="3" t="s">
        <v>109</v>
      </c>
      <c r="BE8" s="110" t="s">
        <v>113</v>
      </c>
      <c r="BF8" s="110" t="s">
        <v>113</v>
      </c>
      <c r="BH8" s="3" t="s">
        <v>108</v>
      </c>
      <c r="BI8" s="3" t="s">
        <v>111</v>
      </c>
      <c r="BJ8" s="3" t="s">
        <v>109</v>
      </c>
      <c r="BK8" s="3" t="s">
        <v>109</v>
      </c>
      <c r="BL8" s="110" t="s">
        <v>113</v>
      </c>
      <c r="BM8" s="110" t="s">
        <v>113</v>
      </c>
      <c r="BO8" s="3" t="s">
        <v>108</v>
      </c>
      <c r="BP8" s="3" t="s">
        <v>111</v>
      </c>
      <c r="BQ8" s="3" t="s">
        <v>109</v>
      </c>
      <c r="BR8" s="3" t="s">
        <v>109</v>
      </c>
      <c r="BS8" s="3" t="s">
        <v>113</v>
      </c>
      <c r="BT8" s="3" t="s">
        <v>113</v>
      </c>
      <c r="BV8" s="3" t="s">
        <v>108</v>
      </c>
      <c r="BW8" s="3" t="s">
        <v>111</v>
      </c>
      <c r="BX8" s="3" t="s">
        <v>109</v>
      </c>
      <c r="BY8" s="3" t="s">
        <v>109</v>
      </c>
      <c r="BZ8" s="3" t="s">
        <v>113</v>
      </c>
      <c r="CA8" s="3" t="s">
        <v>113</v>
      </c>
    </row>
    <row r="9" spans="1:79" ht="13.5" thickBot="1">
      <c r="A9" s="8" t="s">
        <v>1</v>
      </c>
      <c r="B9" s="40" t="s">
        <v>105</v>
      </c>
      <c r="C9" s="40" t="s">
        <v>161</v>
      </c>
      <c r="D9" s="40" t="s">
        <v>168</v>
      </c>
      <c r="E9" s="40" t="s">
        <v>184</v>
      </c>
      <c r="F9" s="40" t="s">
        <v>194</v>
      </c>
      <c r="G9" s="40" t="s">
        <v>208</v>
      </c>
      <c r="H9" s="40" t="s">
        <v>243</v>
      </c>
      <c r="I9" s="40" t="s">
        <v>256</v>
      </c>
      <c r="J9" s="9" t="s">
        <v>269</v>
      </c>
      <c r="K9" s="9" t="s">
        <v>284</v>
      </c>
      <c r="L9" s="9" t="s">
        <v>84</v>
      </c>
      <c r="M9" s="9" t="s">
        <v>84</v>
      </c>
      <c r="N9" s="9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181</v>
      </c>
      <c r="AB9" s="34" t="s">
        <v>182</v>
      </c>
      <c r="AC9" s="40" t="s">
        <v>183</v>
      </c>
      <c r="AD9" s="40" t="s">
        <v>104</v>
      </c>
      <c r="AE9" s="39"/>
      <c r="AF9" s="3" t="s">
        <v>112</v>
      </c>
      <c r="AG9" s="3" t="s">
        <v>110</v>
      </c>
      <c r="AH9" s="3" t="s">
        <v>112</v>
      </c>
      <c r="AI9" s="3" t="s">
        <v>110</v>
      </c>
      <c r="AJ9" s="110" t="s">
        <v>111</v>
      </c>
      <c r="AK9" s="110" t="s">
        <v>111</v>
      </c>
      <c r="AM9" s="3" t="s">
        <v>112</v>
      </c>
      <c r="AN9" s="3" t="s">
        <v>110</v>
      </c>
      <c r="AO9" s="3" t="s">
        <v>112</v>
      </c>
      <c r="AP9" s="3" t="s">
        <v>110</v>
      </c>
      <c r="AQ9" s="110" t="s">
        <v>111</v>
      </c>
      <c r="AR9" s="110" t="s">
        <v>111</v>
      </c>
      <c r="AT9" s="3" t="s">
        <v>112</v>
      </c>
      <c r="AU9" s="3" t="s">
        <v>110</v>
      </c>
      <c r="AV9" s="3" t="s">
        <v>112</v>
      </c>
      <c r="AW9" s="3" t="s">
        <v>110</v>
      </c>
      <c r="AX9" s="110" t="s">
        <v>111</v>
      </c>
      <c r="AY9" s="110" t="s">
        <v>111</v>
      </c>
      <c r="BA9" s="3" t="s">
        <v>112</v>
      </c>
      <c r="BB9" s="3" t="s">
        <v>110</v>
      </c>
      <c r="BC9" s="3" t="s">
        <v>112</v>
      </c>
      <c r="BD9" s="3" t="s">
        <v>110</v>
      </c>
      <c r="BE9" s="110" t="s">
        <v>111</v>
      </c>
      <c r="BF9" s="110" t="s">
        <v>111</v>
      </c>
      <c r="BH9" s="3" t="s">
        <v>112</v>
      </c>
      <c r="BI9" s="3" t="s">
        <v>110</v>
      </c>
      <c r="BJ9" s="3" t="s">
        <v>112</v>
      </c>
      <c r="BK9" s="3" t="s">
        <v>110</v>
      </c>
      <c r="BL9" s="110" t="s">
        <v>111</v>
      </c>
      <c r="BM9" s="110" t="s">
        <v>111</v>
      </c>
      <c r="BO9" s="3" t="s">
        <v>112</v>
      </c>
      <c r="BP9" s="3" t="s">
        <v>110</v>
      </c>
      <c r="BQ9" s="3" t="s">
        <v>112</v>
      </c>
      <c r="BR9" s="3" t="s">
        <v>110</v>
      </c>
      <c r="BS9" s="3" t="s">
        <v>111</v>
      </c>
      <c r="BT9" s="3" t="s">
        <v>111</v>
      </c>
      <c r="BV9" s="3" t="s">
        <v>112</v>
      </c>
      <c r="BW9" s="3" t="s">
        <v>110</v>
      </c>
      <c r="BX9" s="3" t="s">
        <v>112</v>
      </c>
      <c r="BY9" s="3" t="s">
        <v>110</v>
      </c>
      <c r="BZ9" s="3" t="s">
        <v>111</v>
      </c>
      <c r="CA9" s="3" t="s">
        <v>111</v>
      </c>
    </row>
    <row r="10" spans="1:79" ht="12.75">
      <c r="A10" s="7" t="s">
        <v>5</v>
      </c>
      <c r="B10" s="11">
        <v>2983563</v>
      </c>
      <c r="C10" s="11">
        <v>3220407</v>
      </c>
      <c r="D10" s="11">
        <v>3348155</v>
      </c>
      <c r="E10" s="11">
        <v>3384820</v>
      </c>
      <c r="F10" s="11">
        <v>3514701</v>
      </c>
      <c r="G10" s="11">
        <v>3746503.70023</v>
      </c>
      <c r="H10" s="11">
        <v>4062037.7187800007</v>
      </c>
      <c r="I10" s="11">
        <v>4386841.53477</v>
      </c>
      <c r="J10" s="11">
        <f>SUM(J12:J43)</f>
        <v>4498059.4071</v>
      </c>
      <c r="K10" s="11">
        <f>SUM(K12:K43)</f>
        <v>4537912.8644199995</v>
      </c>
      <c r="L10" s="245">
        <f>(K10-J10)*100/J10</f>
        <v>0.8860144723098161</v>
      </c>
      <c r="M10" s="48">
        <f>(K10-AC10)*100/AC10</f>
        <v>79.04130435238906</v>
      </c>
      <c r="N10" s="11">
        <f>SUM(N12:N39)</f>
        <v>1206634</v>
      </c>
      <c r="O10" s="11">
        <f>SUM(O12:O39)</f>
        <v>1261604</v>
      </c>
      <c r="P10" s="11">
        <f>SUM(P12:P39)</f>
        <v>1377436</v>
      </c>
      <c r="Q10" s="11">
        <f>SUM(Q12:Q39)</f>
        <v>1507346</v>
      </c>
      <c r="R10" s="11">
        <f>SUM(R11:R39)</f>
        <v>1670447</v>
      </c>
      <c r="S10" s="11">
        <f>SUM(S11:S39)</f>
        <v>1824006</v>
      </c>
      <c r="T10" s="11">
        <f>SUM(T11:T39)</f>
        <v>1987318</v>
      </c>
      <c r="U10" s="11">
        <f aca="true" t="shared" si="0" ref="U10:AA10">SUM(U12:U43)</f>
        <v>2017138</v>
      </c>
      <c r="V10" s="11">
        <f t="shared" si="0"/>
        <v>2095302</v>
      </c>
      <c r="W10" s="11">
        <f t="shared" si="0"/>
        <v>2190290</v>
      </c>
      <c r="X10" s="11">
        <f t="shared" si="0"/>
        <v>2350590.7229999998</v>
      </c>
      <c r="Y10" s="11">
        <f t="shared" si="0"/>
        <v>2438369</v>
      </c>
      <c r="Z10" s="11">
        <f t="shared" si="0"/>
        <v>2517398</v>
      </c>
      <c r="AA10" s="11">
        <f t="shared" si="0"/>
        <v>2517398</v>
      </c>
      <c r="AB10" s="11">
        <f>SUM(AB12:AB43)</f>
        <v>2381073</v>
      </c>
      <c r="AC10" s="11">
        <f>SUM(AC12:AC43)</f>
        <v>2534562</v>
      </c>
      <c r="AD10" s="11">
        <v>2690895</v>
      </c>
      <c r="AE10" s="11"/>
      <c r="AF10" s="11">
        <f>SUM(AF12:AF43)</f>
        <v>3423706601</v>
      </c>
      <c r="AG10" s="11">
        <f>SUM(AG12:AG43)</f>
        <v>30515368.11</v>
      </c>
      <c r="AH10" s="11">
        <f>SUM(AH12:AH43)</f>
        <v>8408047.139999999</v>
      </c>
      <c r="AI10" s="11">
        <f>SUM(AI11:AI39)</f>
        <v>35638.37</v>
      </c>
      <c r="AJ10" s="11">
        <f>SUM(AJ11:AJ39)</f>
        <v>3384818824.12</v>
      </c>
      <c r="AK10" s="11">
        <f>SUM(AK11:AK39)</f>
        <v>3384818.82412</v>
      </c>
      <c r="AM10" s="11">
        <f>SUM(AM12:AM43)</f>
        <v>3571803525</v>
      </c>
      <c r="AN10" s="11">
        <f>SUM(AN12:AN43)</f>
        <v>49907299.96999999</v>
      </c>
      <c r="AO10" s="11">
        <f>SUM(AO11:AO39)</f>
        <v>7268272.03</v>
      </c>
      <c r="AP10" s="11">
        <f>SUM(AP11:AP39)</f>
        <v>71686.41</v>
      </c>
      <c r="AQ10" s="11">
        <f>SUM(AQ11:AQ39)</f>
        <v>3514699639.41</v>
      </c>
      <c r="AR10" s="11">
        <f>SUM(AR11:AR39)</f>
        <v>3514699.6394100008</v>
      </c>
      <c r="AT10" s="11">
        <f aca="true" t="shared" si="1" ref="AT10:BF10">SUM(AT12:AT39)</f>
        <v>3793591758.18</v>
      </c>
      <c r="AU10" s="11">
        <f t="shared" si="1"/>
        <v>40080907.03999999</v>
      </c>
      <c r="AV10" s="11">
        <f t="shared" si="1"/>
        <v>7025936.149999999</v>
      </c>
      <c r="AW10" s="11">
        <f t="shared" si="1"/>
        <v>18785.24</v>
      </c>
      <c r="AX10" s="11">
        <f t="shared" si="1"/>
        <v>3746503700.2299995</v>
      </c>
      <c r="AY10" s="11">
        <f t="shared" si="1"/>
        <v>3746503.70023</v>
      </c>
      <c r="BA10" s="11">
        <f t="shared" si="1"/>
        <v>4116776614.78</v>
      </c>
      <c r="BB10" s="11">
        <f t="shared" si="1"/>
        <v>48679715.36000001</v>
      </c>
      <c r="BC10" s="11">
        <f t="shared" si="1"/>
        <v>6063593.289999999</v>
      </c>
      <c r="BD10" s="11">
        <f t="shared" si="1"/>
        <v>4412.65</v>
      </c>
      <c r="BE10" s="11">
        <f t="shared" si="1"/>
        <v>4062037718.78</v>
      </c>
      <c r="BF10" s="11">
        <f t="shared" si="1"/>
        <v>4062037.7187800007</v>
      </c>
      <c r="BH10" s="11">
        <f aca="true" t="shared" si="2" ref="BH10:BM10">SUM(BH12:BH39)</f>
        <v>4449443870.969999</v>
      </c>
      <c r="BI10" s="11">
        <f t="shared" si="2"/>
        <v>54835933.429999985</v>
      </c>
      <c r="BJ10" s="11">
        <f t="shared" si="2"/>
        <v>6284711.79</v>
      </c>
      <c r="BK10" s="11">
        <f t="shared" si="2"/>
        <v>5801.85</v>
      </c>
      <c r="BL10" s="11">
        <f t="shared" si="2"/>
        <v>4388329027.6</v>
      </c>
      <c r="BM10" s="11">
        <f t="shared" si="2"/>
        <v>4388329.0276</v>
      </c>
      <c r="BO10" s="11">
        <f aca="true" t="shared" si="3" ref="BO10:BT10">SUM(BO12:BO39)</f>
        <v>4550101427.950002</v>
      </c>
      <c r="BP10" s="11">
        <f t="shared" si="3"/>
        <v>46706718.56</v>
      </c>
      <c r="BQ10" s="11">
        <f t="shared" si="3"/>
        <v>5374110.080000001</v>
      </c>
      <c r="BR10" s="11">
        <f t="shared" si="3"/>
        <v>38807.79</v>
      </c>
      <c r="BS10" s="11">
        <f t="shared" si="3"/>
        <v>4498059407.1</v>
      </c>
      <c r="BT10" s="11">
        <f t="shared" si="3"/>
        <v>4498059.4071</v>
      </c>
      <c r="BV10" s="11">
        <f aca="true" t="shared" si="4" ref="BV10:CA10">SUM(BV12:BV39)</f>
        <v>4578087848.430001</v>
      </c>
      <c r="BW10" s="11">
        <f t="shared" si="4"/>
        <v>35197318.120000005</v>
      </c>
      <c r="BX10" s="11">
        <f t="shared" si="4"/>
        <v>4981877.89</v>
      </c>
      <c r="BY10" s="11">
        <f t="shared" si="4"/>
        <v>4212</v>
      </c>
      <c r="BZ10" s="11">
        <f t="shared" si="4"/>
        <v>4537912864.419999</v>
      </c>
      <c r="CA10" s="11">
        <f t="shared" si="4"/>
        <v>4537912.8644199995</v>
      </c>
    </row>
    <row r="11" spans="2:31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M11" s="14"/>
      <c r="O11" s="14"/>
      <c r="R11" s="14"/>
      <c r="S11" s="14"/>
      <c r="U11" s="1"/>
      <c r="W11" s="1"/>
      <c r="X11" s="14" t="s">
        <v>30</v>
      </c>
      <c r="Y11" s="1"/>
      <c r="Z11" s="14"/>
      <c r="AA11" s="14"/>
      <c r="AB11" s="14"/>
      <c r="AC11" s="14"/>
      <c r="AD11" s="14"/>
      <c r="AE11" s="14"/>
    </row>
    <row r="12" spans="1:79" ht="12.75">
      <c r="A12" s="1" t="s">
        <v>6</v>
      </c>
      <c r="B12" s="14">
        <v>32727</v>
      </c>
      <c r="C12" s="14">
        <v>35665</v>
      </c>
      <c r="D12" s="14">
        <v>36325</v>
      </c>
      <c r="E12" s="14">
        <v>37859</v>
      </c>
      <c r="F12" s="14">
        <v>38396</v>
      </c>
      <c r="G12" s="14">
        <v>40336.536640000006</v>
      </c>
      <c r="H12" s="14">
        <v>43173.756980000006</v>
      </c>
      <c r="I12" s="14">
        <v>44012.27804999999</v>
      </c>
      <c r="J12" s="14">
        <v>49864.16369</v>
      </c>
      <c r="K12" s="14">
        <v>49817.76139</v>
      </c>
      <c r="L12" s="245">
        <f>(K12-J12)*100/J12</f>
        <v>-0.09305741150795095</v>
      </c>
      <c r="M12" s="48">
        <f>(K12-AC12)*100/AC12</f>
        <v>59.050384362428964</v>
      </c>
      <c r="N12" s="14">
        <v>18788</v>
      </c>
      <c r="O12" s="14">
        <v>19226</v>
      </c>
      <c r="P12" s="14">
        <v>20230</v>
      </c>
      <c r="Q12" s="27">
        <v>21396</v>
      </c>
      <c r="R12" s="27">
        <v>23150</v>
      </c>
      <c r="S12" s="27">
        <v>24625</v>
      </c>
      <c r="T12" s="27">
        <v>26069</v>
      </c>
      <c r="U12" s="27">
        <v>26793</v>
      </c>
      <c r="V12" s="27">
        <v>27205</v>
      </c>
      <c r="W12" s="27">
        <v>28821</v>
      </c>
      <c r="X12" s="14">
        <f>30730.313-584.698</f>
        <v>30145.614999999998</v>
      </c>
      <c r="Y12" s="27">
        <v>31261</v>
      </c>
      <c r="Z12" s="14">
        <v>31479</v>
      </c>
      <c r="AA12" s="14">
        <v>31479</v>
      </c>
      <c r="AB12" s="14">
        <v>30834</v>
      </c>
      <c r="AC12" s="14">
        <v>31322</v>
      </c>
      <c r="AD12" s="14">
        <v>32028</v>
      </c>
      <c r="AE12" s="14"/>
      <c r="AF12" s="3">
        <v>38604909</v>
      </c>
      <c r="AG12" s="92">
        <v>588479.93</v>
      </c>
      <c r="AH12" s="41">
        <v>169183.38</v>
      </c>
      <c r="AI12" s="41">
        <v>12131.4</v>
      </c>
      <c r="AJ12" s="3">
        <f>AF12-AG12-AH12+AI12</f>
        <v>37859377.089999996</v>
      </c>
      <c r="AK12" s="3">
        <f>AJ12/1000</f>
        <v>37859.377089999994</v>
      </c>
      <c r="AM12" s="3">
        <v>39461952</v>
      </c>
      <c r="AN12" s="92">
        <v>902135</v>
      </c>
      <c r="AO12" s="41">
        <v>175299</v>
      </c>
      <c r="AP12" s="41">
        <v>11562</v>
      </c>
      <c r="AQ12" s="3">
        <f>AM12-AN12-AO12+AP12</f>
        <v>38396080</v>
      </c>
      <c r="AR12" s="3">
        <f>AQ12/1000</f>
        <v>38396.08</v>
      </c>
      <c r="AT12" s="241">
        <v>41589515.30000001</v>
      </c>
      <c r="AU12" s="92">
        <v>1050410.14</v>
      </c>
      <c r="AV12" s="41">
        <v>202568.52</v>
      </c>
      <c r="AW12" s="41">
        <v>0</v>
      </c>
      <c r="AX12" s="3">
        <f>AT12-AU12-AV12+AW12</f>
        <v>40336536.64000001</v>
      </c>
      <c r="AY12" s="3">
        <f>AX12/1000</f>
        <v>40336.536640000006</v>
      </c>
      <c r="BA12" s="3">
        <v>44759335.300000004</v>
      </c>
      <c r="BB12" s="3">
        <v>1348354.81</v>
      </c>
      <c r="BC12" s="3">
        <v>238112.51</v>
      </c>
      <c r="BD12" s="3">
        <v>889</v>
      </c>
      <c r="BE12" s="3">
        <f>BA12-BB12-BC12+BD12</f>
        <v>43173756.980000004</v>
      </c>
      <c r="BF12" s="3">
        <f>BE12/1000</f>
        <v>43173.756980000006</v>
      </c>
      <c r="BH12" s="3">
        <v>47618900.57999999</v>
      </c>
      <c r="BI12" s="3">
        <v>1848999.37</v>
      </c>
      <c r="BJ12" s="3">
        <v>270130.33</v>
      </c>
      <c r="BK12" s="3">
        <v>0</v>
      </c>
      <c r="BL12" s="3">
        <f>BH12-BI12-BJ12+BK12</f>
        <v>45499770.879999995</v>
      </c>
      <c r="BM12" s="3">
        <f>BL12/1000</f>
        <v>45499.77088</v>
      </c>
      <c r="BO12" s="3">
        <v>52176974.04</v>
      </c>
      <c r="BP12" s="3">
        <v>2015535.89</v>
      </c>
      <c r="BQ12" s="3">
        <v>297899.45999999996</v>
      </c>
      <c r="BR12" s="3">
        <v>625</v>
      </c>
      <c r="BS12" s="3">
        <f>BO12-BP12-BQ12+BR12</f>
        <v>49864163.69</v>
      </c>
      <c r="BT12" s="3">
        <f>BS12/1000</f>
        <v>49864.16369</v>
      </c>
      <c r="BV12" s="128">
        <v>51867896.08</v>
      </c>
      <c r="BW12" s="3">
        <v>1784880.6099999999</v>
      </c>
      <c r="BX12" s="3">
        <v>265254.07999999996</v>
      </c>
      <c r="BY12" s="128">
        <v>0</v>
      </c>
      <c r="BZ12" s="3">
        <f>BV12-BW12-BX12+BY12</f>
        <v>49817761.39</v>
      </c>
      <c r="CA12" s="3">
        <f>BZ12/1000</f>
        <v>49817.76139</v>
      </c>
    </row>
    <row r="13" spans="1:79" ht="12.75">
      <c r="A13" s="1" t="s">
        <v>7</v>
      </c>
      <c r="B13" s="14">
        <v>243336</v>
      </c>
      <c r="C13" s="14">
        <v>260931</v>
      </c>
      <c r="D13" s="14">
        <v>267276</v>
      </c>
      <c r="E13" s="14">
        <v>273306</v>
      </c>
      <c r="F13" s="14">
        <v>286572</v>
      </c>
      <c r="G13" s="14">
        <v>303113.61208</v>
      </c>
      <c r="H13" s="14">
        <v>335196.72911000013</v>
      </c>
      <c r="I13" s="14">
        <v>363895.2126399999</v>
      </c>
      <c r="J13" s="14">
        <v>380208.17903999996</v>
      </c>
      <c r="K13" s="14">
        <v>377709.03349</v>
      </c>
      <c r="L13" s="245">
        <f>(K13-J13)*100/J13</f>
        <v>-0.65730978126513</v>
      </c>
      <c r="M13" s="48">
        <f>(K13-AC13)*100/AC13</f>
        <v>82.2867260069689</v>
      </c>
      <c r="N13" s="14">
        <v>115809</v>
      </c>
      <c r="O13" s="14">
        <v>121249</v>
      </c>
      <c r="P13" s="14">
        <v>131218</v>
      </c>
      <c r="Q13" s="27">
        <v>142587</v>
      </c>
      <c r="R13" s="27">
        <v>155028</v>
      </c>
      <c r="S13" s="27">
        <v>170395</v>
      </c>
      <c r="T13" s="27">
        <v>187195</v>
      </c>
      <c r="U13" s="27">
        <v>185033</v>
      </c>
      <c r="V13" s="27">
        <v>190411</v>
      </c>
      <c r="W13" s="27">
        <v>197513</v>
      </c>
      <c r="X13" s="14">
        <f>212278.998-1642.945</f>
        <v>210636.05299999999</v>
      </c>
      <c r="Y13" s="27">
        <v>214800</v>
      </c>
      <c r="Z13" s="14">
        <v>218287</v>
      </c>
      <c r="AA13" s="14">
        <v>218287</v>
      </c>
      <c r="AB13" s="14">
        <v>202244</v>
      </c>
      <c r="AC13" s="14">
        <v>207206</v>
      </c>
      <c r="AD13" s="14">
        <v>219371</v>
      </c>
      <c r="AE13" s="14"/>
      <c r="AF13" s="3">
        <v>274887875</v>
      </c>
      <c r="AG13" s="92">
        <v>1581632.75</v>
      </c>
      <c r="AH13" s="41">
        <v>0</v>
      </c>
      <c r="AI13" s="41">
        <v>0</v>
      </c>
      <c r="AJ13" s="3">
        <f>AF13-AG13-AH13+AI13</f>
        <v>273306242.25</v>
      </c>
      <c r="AK13" s="3">
        <f>AJ13/1000</f>
        <v>273306.24225</v>
      </c>
      <c r="AM13" s="3">
        <v>287769056</v>
      </c>
      <c r="AN13" s="92">
        <v>1197036</v>
      </c>
      <c r="AO13" s="41">
        <v>0</v>
      </c>
      <c r="AP13" s="41">
        <v>0</v>
      </c>
      <c r="AQ13" s="3">
        <f>AM13-AN13-AO13+AP13</f>
        <v>286572020</v>
      </c>
      <c r="AR13" s="3">
        <f>AQ13/1000</f>
        <v>286572.02</v>
      </c>
      <c r="AT13" s="241">
        <v>304816381.41999996</v>
      </c>
      <c r="AU13" s="92">
        <v>1702769.34</v>
      </c>
      <c r="AV13" s="41">
        <v>0</v>
      </c>
      <c r="AW13" s="41">
        <v>0</v>
      </c>
      <c r="AX13" s="3">
        <f>AT13-AU13-AV13+AW13</f>
        <v>303113612.08</v>
      </c>
      <c r="AY13" s="3">
        <f>AX13/1000</f>
        <v>303113.61208</v>
      </c>
      <c r="BA13" s="3">
        <v>336806457.4100001</v>
      </c>
      <c r="BB13" s="3">
        <v>1419645.4</v>
      </c>
      <c r="BC13" s="3">
        <v>190082.9</v>
      </c>
      <c r="BD13" s="3">
        <v>0</v>
      </c>
      <c r="BE13" s="3">
        <f>BA13-BB13-BC13+BD13</f>
        <v>335196729.11000013</v>
      </c>
      <c r="BF13" s="3">
        <f>BE13/1000</f>
        <v>335196.72911000013</v>
      </c>
      <c r="BH13" s="3">
        <v>366343520.83</v>
      </c>
      <c r="BI13" s="3">
        <v>2174579.97</v>
      </c>
      <c r="BJ13" s="3">
        <v>273728.22</v>
      </c>
      <c r="BK13" s="3">
        <v>0</v>
      </c>
      <c r="BL13" s="3">
        <f>BH13-BI13-BJ13+BK13</f>
        <v>363895212.6399999</v>
      </c>
      <c r="BM13" s="3">
        <f>BL13/1000</f>
        <v>363895.2126399999</v>
      </c>
      <c r="BO13" s="3">
        <v>383902138.50999993</v>
      </c>
      <c r="BP13" s="3">
        <v>3443263.96</v>
      </c>
      <c r="BQ13" s="3">
        <v>260650.77999999997</v>
      </c>
      <c r="BR13" s="3">
        <v>9955.27</v>
      </c>
      <c r="BS13" s="3">
        <f>BO13-BP13-BQ13+BR13</f>
        <v>380208179.03999996</v>
      </c>
      <c r="BT13" s="3">
        <f>BS13/1000</f>
        <v>380208.17903999996</v>
      </c>
      <c r="BV13" s="128">
        <v>380357906.33000004</v>
      </c>
      <c r="BW13" s="3">
        <v>2413180.36</v>
      </c>
      <c r="BX13" s="3">
        <v>235692.48</v>
      </c>
      <c r="BY13" s="128">
        <v>0</v>
      </c>
      <c r="BZ13" s="3">
        <f>BV13-BW13-BX13+BY13</f>
        <v>377709033.49</v>
      </c>
      <c r="CA13" s="3">
        <f>BZ13/1000</f>
        <v>377709.03349</v>
      </c>
    </row>
    <row r="14" spans="1:79" ht="12.75">
      <c r="A14" s="1" t="s">
        <v>8</v>
      </c>
      <c r="B14" s="14">
        <v>337427</v>
      </c>
      <c r="C14" s="14">
        <v>371486</v>
      </c>
      <c r="D14" s="14">
        <v>377196</v>
      </c>
      <c r="E14" s="14">
        <v>346151</v>
      </c>
      <c r="F14" s="14">
        <v>337032</v>
      </c>
      <c r="G14" s="14">
        <v>364629.63851</v>
      </c>
      <c r="H14" s="14">
        <v>419586.30356000015</v>
      </c>
      <c r="I14" s="14">
        <v>452899.30894000013</v>
      </c>
      <c r="J14" s="14">
        <v>465363.7373599999</v>
      </c>
      <c r="K14" s="14">
        <v>462354.1792200001</v>
      </c>
      <c r="L14" s="245">
        <f>(K14-J14)*100/J14</f>
        <v>-0.6467109270423548</v>
      </c>
      <c r="M14" s="48">
        <f>(K14-AC14)*100/AC14</f>
        <v>56.68349076207779</v>
      </c>
      <c r="N14" s="14">
        <v>157929</v>
      </c>
      <c r="O14" s="14">
        <v>165616</v>
      </c>
      <c r="P14" s="14">
        <v>175520</v>
      </c>
      <c r="Q14" s="27">
        <v>190613</v>
      </c>
      <c r="R14" s="27">
        <v>204939</v>
      </c>
      <c r="S14" s="27">
        <v>215074</v>
      </c>
      <c r="T14" s="27">
        <v>236878</v>
      </c>
      <c r="U14" s="27">
        <v>242644</v>
      </c>
      <c r="V14" s="27">
        <v>256055</v>
      </c>
      <c r="W14" s="27">
        <v>265478</v>
      </c>
      <c r="X14" s="14">
        <f>288733.843-7202.757</f>
        <v>281531.086</v>
      </c>
      <c r="Y14" s="27">
        <v>292917</v>
      </c>
      <c r="Z14" s="14">
        <v>284915</v>
      </c>
      <c r="AA14" s="14">
        <v>284915</v>
      </c>
      <c r="AB14" s="14">
        <v>275051</v>
      </c>
      <c r="AC14" s="14">
        <v>295088</v>
      </c>
      <c r="AD14" s="14">
        <v>307002</v>
      </c>
      <c r="AE14" s="14"/>
      <c r="AF14" s="3">
        <v>348122129</v>
      </c>
      <c r="AG14" s="92">
        <v>1971021.12</v>
      </c>
      <c r="AH14" s="41">
        <v>0</v>
      </c>
      <c r="AI14" s="41">
        <v>0</v>
      </c>
      <c r="AJ14" s="3">
        <f>AF14-AG14-AH14+AI14</f>
        <v>346151107.88</v>
      </c>
      <c r="AK14" s="3">
        <f>AJ14/1000</f>
        <v>346151.10787999997</v>
      </c>
      <c r="AM14" s="3">
        <v>341535114</v>
      </c>
      <c r="AN14" s="92">
        <v>4503261.31</v>
      </c>
      <c r="AO14" s="41">
        <v>0</v>
      </c>
      <c r="AP14" s="41">
        <v>0</v>
      </c>
      <c r="AQ14" s="3">
        <f>AM14-AN14-AO14+AP14</f>
        <v>337031852.69</v>
      </c>
      <c r="AR14" s="3">
        <f>AQ14/1000</f>
        <v>337031.85268999997</v>
      </c>
      <c r="AT14" s="241">
        <v>371594543.48</v>
      </c>
      <c r="AU14" s="92">
        <v>6964904.970000001</v>
      </c>
      <c r="AV14" s="41">
        <v>0</v>
      </c>
      <c r="AW14" s="41">
        <v>0</v>
      </c>
      <c r="AX14" s="3">
        <f>AT14-AU14-AV14+AW14</f>
        <v>364629638.51</v>
      </c>
      <c r="AY14" s="3">
        <f>AX14/1000</f>
        <v>364629.63851</v>
      </c>
      <c r="BA14" s="3">
        <v>427918501.1800001</v>
      </c>
      <c r="BB14" s="3">
        <v>8332197.619999998</v>
      </c>
      <c r="BC14" s="3">
        <v>0</v>
      </c>
      <c r="BD14" s="3">
        <v>0</v>
      </c>
      <c r="BE14" s="3">
        <f>BA14-BB14-BC14+BD14</f>
        <v>419586303.5600001</v>
      </c>
      <c r="BF14" s="3">
        <f>BE14/1000</f>
        <v>419586.30356000015</v>
      </c>
      <c r="BH14" s="3">
        <v>459963278.4700001</v>
      </c>
      <c r="BI14" s="3">
        <v>7063969.53</v>
      </c>
      <c r="BJ14" s="3">
        <v>0</v>
      </c>
      <c r="BK14" s="3">
        <v>0</v>
      </c>
      <c r="BL14" s="3">
        <f>BH14-BI14-BJ14+BK14</f>
        <v>452899308.9400001</v>
      </c>
      <c r="BM14" s="3">
        <f>BL14/1000</f>
        <v>452899.30894000013</v>
      </c>
      <c r="BO14" s="3">
        <v>475108013.3699999</v>
      </c>
      <c r="BP14" s="3">
        <v>9744276.01</v>
      </c>
      <c r="BQ14" s="3">
        <v>0</v>
      </c>
      <c r="BR14" s="3">
        <v>0</v>
      </c>
      <c r="BS14" s="3">
        <f>BO14-BP14-BQ14+BR14</f>
        <v>465363737.3599999</v>
      </c>
      <c r="BT14" s="3">
        <f>BS14/1000</f>
        <v>465363.7373599999</v>
      </c>
      <c r="BV14" s="128">
        <v>474498201.2900001</v>
      </c>
      <c r="BW14" s="3">
        <v>12144022.07</v>
      </c>
      <c r="BX14" s="3">
        <v>0</v>
      </c>
      <c r="BY14" s="128">
        <v>0</v>
      </c>
      <c r="BZ14" s="3">
        <f>BV14-BW14-BX14+BY14</f>
        <v>462354179.2200001</v>
      </c>
      <c r="CA14" s="3">
        <f>BZ14/1000</f>
        <v>462354.1792200001</v>
      </c>
    </row>
    <row r="15" spans="1:79" ht="12.75">
      <c r="A15" s="1" t="s">
        <v>9</v>
      </c>
      <c r="B15" s="14">
        <v>387731</v>
      </c>
      <c r="C15" s="14">
        <v>401465</v>
      </c>
      <c r="D15" s="14">
        <v>402186</v>
      </c>
      <c r="E15" s="14">
        <v>408882</v>
      </c>
      <c r="F15" s="14">
        <v>421506</v>
      </c>
      <c r="G15" s="14">
        <v>437312.1972300001</v>
      </c>
      <c r="H15" s="14">
        <v>464994.94165000005</v>
      </c>
      <c r="I15" s="14">
        <v>477131.83534000017</v>
      </c>
      <c r="J15" s="14">
        <v>477840.71733</v>
      </c>
      <c r="K15" s="14">
        <v>514748.25155</v>
      </c>
      <c r="L15" s="245">
        <f>(K15-J15)*100/J15</f>
        <v>7.72381525505525</v>
      </c>
      <c r="M15" s="48">
        <f>(K15-AC15)*100/AC15</f>
        <v>61.73523139449391</v>
      </c>
      <c r="N15" s="14">
        <v>177284</v>
      </c>
      <c r="O15" s="14">
        <v>181784</v>
      </c>
      <c r="P15" s="14">
        <v>197093</v>
      </c>
      <c r="Q15" s="27">
        <v>204662</v>
      </c>
      <c r="R15" s="27">
        <v>231996</v>
      </c>
      <c r="S15" s="27">
        <v>244647</v>
      </c>
      <c r="T15" s="27">
        <v>259500</v>
      </c>
      <c r="U15" s="27">
        <v>265312</v>
      </c>
      <c r="V15" s="27">
        <v>267403</v>
      </c>
      <c r="W15" s="27">
        <v>277269</v>
      </c>
      <c r="X15" s="14">
        <f>318765.127-15349.669-345.811</f>
        <v>303069.647</v>
      </c>
      <c r="Y15" s="27">
        <v>313903</v>
      </c>
      <c r="Z15" s="14">
        <v>327231</v>
      </c>
      <c r="AA15" s="14">
        <v>327231</v>
      </c>
      <c r="AB15" s="14">
        <v>304029</v>
      </c>
      <c r="AC15" s="14">
        <v>318266</v>
      </c>
      <c r="AD15" s="14">
        <v>337310</v>
      </c>
      <c r="AE15" s="14"/>
      <c r="AF15" s="3">
        <v>417545377</v>
      </c>
      <c r="AG15" s="92">
        <v>8479289</v>
      </c>
      <c r="AH15" s="41">
        <v>184547.14</v>
      </c>
      <c r="AI15" s="41">
        <v>0</v>
      </c>
      <c r="AJ15" s="3">
        <f>AF15-AG15-AH15+AI15</f>
        <v>408881540.86</v>
      </c>
      <c r="AK15" s="3">
        <f>AJ15/1000</f>
        <v>408881.54086</v>
      </c>
      <c r="AM15" s="3">
        <v>430116774</v>
      </c>
      <c r="AN15" s="92">
        <v>8438585</v>
      </c>
      <c r="AO15" s="41">
        <v>172054.15</v>
      </c>
      <c r="AP15" s="41">
        <v>0</v>
      </c>
      <c r="AQ15" s="3">
        <f>AM15-AN15-AO15+AP15</f>
        <v>421506134.85</v>
      </c>
      <c r="AR15" s="3">
        <f>AQ15/1000</f>
        <v>421506.13485000003</v>
      </c>
      <c r="AT15" s="241">
        <v>445978903.34000003</v>
      </c>
      <c r="AU15" s="92">
        <v>8430799.27</v>
      </c>
      <c r="AV15" s="41">
        <v>235906.84</v>
      </c>
      <c r="AW15" s="41">
        <v>0</v>
      </c>
      <c r="AX15" s="3">
        <f>AT15-AU15-AV15+AW15</f>
        <v>437312197.2300001</v>
      </c>
      <c r="AY15" s="3">
        <f>AX15/1000</f>
        <v>437312.1972300001</v>
      </c>
      <c r="BA15" s="3">
        <v>472346379.89000005</v>
      </c>
      <c r="BB15" s="3">
        <v>7021289.350000001</v>
      </c>
      <c r="BC15" s="3">
        <v>330148.89</v>
      </c>
      <c r="BD15" s="3">
        <v>0</v>
      </c>
      <c r="BE15" s="3">
        <f>BA15-BB15-BC15+BD15</f>
        <v>464994941.65000004</v>
      </c>
      <c r="BF15" s="3">
        <f>BE15/1000</f>
        <v>464994.94165000005</v>
      </c>
      <c r="BH15" s="3">
        <v>490228965.22000015</v>
      </c>
      <c r="BI15" s="3">
        <v>12729756.829999998</v>
      </c>
      <c r="BJ15" s="3">
        <v>367373.05</v>
      </c>
      <c r="BK15" s="3">
        <v>0</v>
      </c>
      <c r="BL15" s="3">
        <f>BH15-BI15-BJ15+BK15</f>
        <v>477131835.34000015</v>
      </c>
      <c r="BM15" s="3">
        <f>BL15/1000</f>
        <v>477131.83534000017</v>
      </c>
      <c r="BO15" s="3">
        <v>490025906.29</v>
      </c>
      <c r="BP15" s="3">
        <v>11824257.139999999</v>
      </c>
      <c r="BQ15" s="3">
        <v>360931.82000000007</v>
      </c>
      <c r="BR15" s="3">
        <v>0</v>
      </c>
      <c r="BS15" s="3">
        <f>BO15-BP15-BQ15+BR15</f>
        <v>477840717.33000004</v>
      </c>
      <c r="BT15" s="3">
        <f>BS15/1000</f>
        <v>477840.71733</v>
      </c>
      <c r="BV15" s="128">
        <v>515728521</v>
      </c>
      <c r="BW15" s="3">
        <v>629007.17</v>
      </c>
      <c r="BX15" s="3">
        <v>351262.28</v>
      </c>
      <c r="BY15" s="128">
        <v>0</v>
      </c>
      <c r="BZ15" s="3">
        <f>BV15-BW15-BX15+BY15</f>
        <v>514748251.55</v>
      </c>
      <c r="CA15" s="3">
        <f>BZ15/1000</f>
        <v>514748.25155</v>
      </c>
    </row>
    <row r="16" spans="1:79" ht="12.75">
      <c r="A16" s="1" t="s">
        <v>10</v>
      </c>
      <c r="B16" s="14">
        <v>52284</v>
      </c>
      <c r="C16" s="14">
        <v>56805</v>
      </c>
      <c r="D16" s="14">
        <v>62586</v>
      </c>
      <c r="E16" s="14">
        <v>65950</v>
      </c>
      <c r="F16" s="14">
        <v>68625</v>
      </c>
      <c r="G16" s="14">
        <v>73739.37703</v>
      </c>
      <c r="H16" s="14">
        <v>77027.13711</v>
      </c>
      <c r="I16" s="14">
        <v>83121.52389</v>
      </c>
      <c r="J16" s="14">
        <v>85613.63831000001</v>
      </c>
      <c r="K16" s="14">
        <v>86479.17832999998</v>
      </c>
      <c r="L16" s="245">
        <f>(K16-J16)*100/J16</f>
        <v>1.0109838071195167</v>
      </c>
      <c r="M16" s="48">
        <f>(K16-AC16)*100/AC16</f>
        <v>100.0721319868591</v>
      </c>
      <c r="N16" s="14">
        <v>14010</v>
      </c>
      <c r="O16" s="14">
        <v>14579</v>
      </c>
      <c r="P16" s="14">
        <v>16026</v>
      </c>
      <c r="Q16" s="27">
        <v>17772</v>
      </c>
      <c r="R16" s="27">
        <v>20446</v>
      </c>
      <c r="S16" s="27">
        <v>22676</v>
      </c>
      <c r="T16" s="27">
        <v>25397</v>
      </c>
      <c r="U16" s="27">
        <v>28682</v>
      </c>
      <c r="V16" s="27">
        <v>31276</v>
      </c>
      <c r="W16" s="27">
        <v>33816</v>
      </c>
      <c r="X16" s="14">
        <f>36750.293-608.007</f>
        <v>36142.286</v>
      </c>
      <c r="Y16" s="27">
        <v>39089</v>
      </c>
      <c r="Z16" s="14">
        <v>42068</v>
      </c>
      <c r="AA16" s="14">
        <v>42068</v>
      </c>
      <c r="AB16" s="14">
        <v>40417</v>
      </c>
      <c r="AC16" s="14">
        <v>43224</v>
      </c>
      <c r="AD16" s="14">
        <v>46865</v>
      </c>
      <c r="AE16" s="14"/>
      <c r="AF16" s="3">
        <v>67308631</v>
      </c>
      <c r="AG16" s="92">
        <v>1155769.74</v>
      </c>
      <c r="AH16" s="41">
        <v>203183.87</v>
      </c>
      <c r="AI16" s="41">
        <v>0</v>
      </c>
      <c r="AJ16" s="3">
        <f>AF16-AG16-AH16+AI16</f>
        <v>65949677.39</v>
      </c>
      <c r="AK16" s="3">
        <f>AJ16/1000</f>
        <v>65949.67739</v>
      </c>
      <c r="AM16" s="3">
        <v>69630424</v>
      </c>
      <c r="AN16" s="92">
        <v>773961.8</v>
      </c>
      <c r="AO16" s="41">
        <v>245459.19</v>
      </c>
      <c r="AP16" s="41">
        <v>13955</v>
      </c>
      <c r="AQ16" s="3">
        <f>AM16-AN16-AO16+AP16</f>
        <v>68624958.01</v>
      </c>
      <c r="AR16" s="3">
        <f>AQ16/1000</f>
        <v>68624.95801</v>
      </c>
      <c r="AT16" s="241">
        <v>74945115.64</v>
      </c>
      <c r="AU16" s="92">
        <v>1002363.51</v>
      </c>
      <c r="AV16" s="41">
        <v>208247.94</v>
      </c>
      <c r="AW16" s="41">
        <v>4872.84</v>
      </c>
      <c r="AX16" s="3">
        <f>AT16-AU16-AV16+AW16</f>
        <v>73739377.03</v>
      </c>
      <c r="AY16" s="3">
        <f>AX16/1000</f>
        <v>73739.37703</v>
      </c>
      <c r="BA16" s="3">
        <v>78211453.00999999</v>
      </c>
      <c r="BB16" s="3">
        <v>835088.07</v>
      </c>
      <c r="BC16" s="3">
        <v>349227.83</v>
      </c>
      <c r="BD16" s="3">
        <v>0</v>
      </c>
      <c r="BE16" s="3">
        <f>BA16-BB16-BC16+BD16</f>
        <v>77027137.11</v>
      </c>
      <c r="BF16" s="3">
        <f>BE16/1000</f>
        <v>77027.13711</v>
      </c>
      <c r="BH16" s="3">
        <v>84958728.80000001</v>
      </c>
      <c r="BI16" s="3">
        <v>1426624.87</v>
      </c>
      <c r="BJ16" s="3">
        <v>410580.04</v>
      </c>
      <c r="BK16" s="3">
        <v>0</v>
      </c>
      <c r="BL16" s="3">
        <f>BH16-BI16-BJ16+BK16</f>
        <v>83121523.89</v>
      </c>
      <c r="BM16" s="3">
        <f>BL16/1000</f>
        <v>83121.52389</v>
      </c>
      <c r="BO16" s="3">
        <v>87022622.34</v>
      </c>
      <c r="BP16" s="3">
        <v>1000243.9099999998</v>
      </c>
      <c r="BQ16" s="3">
        <v>417674.06</v>
      </c>
      <c r="BR16" s="3">
        <v>8933.94</v>
      </c>
      <c r="BS16" s="3">
        <f>BO16-BP16-BQ16+BR16</f>
        <v>85613638.31</v>
      </c>
      <c r="BT16" s="3">
        <f>BS16/1000</f>
        <v>85613.63831000001</v>
      </c>
      <c r="BV16" s="128">
        <v>87778245.04999998</v>
      </c>
      <c r="BW16" s="3">
        <v>905221.5599999999</v>
      </c>
      <c r="BX16" s="3">
        <v>398057.16000000003</v>
      </c>
      <c r="BY16" s="287">
        <v>4212</v>
      </c>
      <c r="BZ16" s="3">
        <f>BV16-BW16-BX16+BY16</f>
        <v>86479178.32999998</v>
      </c>
      <c r="CA16" s="3">
        <f>BZ16/1000</f>
        <v>86479.17832999998</v>
      </c>
    </row>
    <row r="17" spans="2:77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48"/>
      <c r="M17" s="48"/>
      <c r="N17" s="14"/>
      <c r="P17" s="14"/>
      <c r="Q17" s="27"/>
      <c r="R17" s="27"/>
      <c r="S17" s="27"/>
      <c r="T17" s="27"/>
      <c r="U17" s="27"/>
      <c r="V17" s="27"/>
      <c r="W17" s="27"/>
      <c r="X17" s="14"/>
      <c r="Y17" s="27"/>
      <c r="Z17" s="14"/>
      <c r="AA17" s="14"/>
      <c r="AB17" s="14"/>
      <c r="AC17" s="14"/>
      <c r="AD17" s="14"/>
      <c r="AE17" s="14"/>
      <c r="AG17" s="92"/>
      <c r="AH17" s="41"/>
      <c r="AI17" s="41"/>
      <c r="AN17" s="92"/>
      <c r="AO17" s="41"/>
      <c r="AP17" s="41"/>
      <c r="AT17" s="241"/>
      <c r="AU17" s="92"/>
      <c r="AV17" s="41"/>
      <c r="AW17" s="41"/>
      <c r="BV17" s="128"/>
      <c r="BY17" s="128"/>
    </row>
    <row r="18" spans="1:79" ht="12.75">
      <c r="A18" s="1" t="s">
        <v>11</v>
      </c>
      <c r="B18" s="14">
        <v>17745</v>
      </c>
      <c r="C18" s="14">
        <v>19145</v>
      </c>
      <c r="D18" s="14">
        <v>20168</v>
      </c>
      <c r="E18" s="14">
        <v>20349</v>
      </c>
      <c r="F18" s="14">
        <v>20774</v>
      </c>
      <c r="G18" s="14">
        <v>21846.19204</v>
      </c>
      <c r="H18" s="14">
        <v>23659.95253</v>
      </c>
      <c r="I18" s="14">
        <v>26103.333389999996</v>
      </c>
      <c r="J18" s="14">
        <v>26356.091750000003</v>
      </c>
      <c r="K18" s="14">
        <v>26571.6856</v>
      </c>
      <c r="L18" s="245">
        <f>(K18-J18)*100/J18</f>
        <v>0.8180038681190183</v>
      </c>
      <c r="M18" s="48">
        <f>(K18-AC18)*100/AC18</f>
        <v>64.6019054698631</v>
      </c>
      <c r="N18" s="14">
        <v>6314</v>
      </c>
      <c r="O18" s="14">
        <v>6498</v>
      </c>
      <c r="P18" s="14">
        <v>7512</v>
      </c>
      <c r="Q18" s="27">
        <v>8393</v>
      </c>
      <c r="R18" s="27">
        <v>9417</v>
      </c>
      <c r="S18" s="27">
        <v>10279</v>
      </c>
      <c r="T18" s="27">
        <v>11390</v>
      </c>
      <c r="U18" s="27">
        <v>11947</v>
      </c>
      <c r="V18" s="27">
        <v>12477</v>
      </c>
      <c r="W18" s="27">
        <v>13387</v>
      </c>
      <c r="X18" s="14">
        <f>14937.162-599.746-1.537</f>
        <v>14335.879</v>
      </c>
      <c r="Y18" s="27">
        <v>15198</v>
      </c>
      <c r="Z18" s="14">
        <v>16583</v>
      </c>
      <c r="AA18" s="14">
        <v>16583</v>
      </c>
      <c r="AB18" s="14">
        <v>15043</v>
      </c>
      <c r="AC18" s="14">
        <v>16143</v>
      </c>
      <c r="AD18" s="14">
        <v>16548</v>
      </c>
      <c r="AE18" s="14"/>
      <c r="AF18" s="3">
        <v>20669177</v>
      </c>
      <c r="AG18" s="92">
        <v>320194.17</v>
      </c>
      <c r="AH18" s="41">
        <v>0</v>
      </c>
      <c r="AI18" s="41">
        <v>0</v>
      </c>
      <c r="AJ18" s="3">
        <f>AF18-AG18-AH18+AI18</f>
        <v>20348982.83</v>
      </c>
      <c r="AK18" s="3">
        <f>AJ18/1000</f>
        <v>20348.982829999997</v>
      </c>
      <c r="AM18" s="3">
        <v>21005929</v>
      </c>
      <c r="AN18" s="92">
        <v>232396.94</v>
      </c>
      <c r="AO18" s="41">
        <v>0</v>
      </c>
      <c r="AP18" s="41">
        <v>0</v>
      </c>
      <c r="AQ18" s="3">
        <f>AM18-AN18-AO18+AP18</f>
        <v>20773532.06</v>
      </c>
      <c r="AR18" s="3">
        <f>AQ18/1000</f>
        <v>20773.532059999998</v>
      </c>
      <c r="AT18" s="241">
        <v>22130667.980000004</v>
      </c>
      <c r="AU18" s="92">
        <v>284475.94</v>
      </c>
      <c r="AV18" s="41">
        <v>0</v>
      </c>
      <c r="AW18" s="41">
        <v>0</v>
      </c>
      <c r="AX18" s="3">
        <f>AT18-AU18-AV18+AW18</f>
        <v>21846192.040000003</v>
      </c>
      <c r="AY18" s="3">
        <f>AX18/1000</f>
        <v>21846.19204</v>
      </c>
      <c r="BA18" s="3">
        <v>24126023.929999996</v>
      </c>
      <c r="BB18" s="3">
        <v>466071.4</v>
      </c>
      <c r="BC18" s="3">
        <v>0</v>
      </c>
      <c r="BD18" s="3">
        <v>0</v>
      </c>
      <c r="BE18" s="3">
        <f>BA18-BB18-BC18+BD18</f>
        <v>23659952.529999997</v>
      </c>
      <c r="BF18" s="3">
        <f>BE18/1000</f>
        <v>23659.95253</v>
      </c>
      <c r="BH18" s="3">
        <v>26786227.369999997</v>
      </c>
      <c r="BI18" s="3">
        <v>682893.98</v>
      </c>
      <c r="BJ18" s="3">
        <v>0</v>
      </c>
      <c r="BK18" s="3">
        <v>0</v>
      </c>
      <c r="BL18" s="3">
        <f>BH18-BI18-BJ18+BK18</f>
        <v>26103333.389999997</v>
      </c>
      <c r="BM18" s="3">
        <f>BL18/1000</f>
        <v>26103.333389999996</v>
      </c>
      <c r="BO18" s="3">
        <v>27384558.950000003</v>
      </c>
      <c r="BP18" s="3">
        <v>1028467.2</v>
      </c>
      <c r="BQ18" s="3">
        <v>0</v>
      </c>
      <c r="BR18" s="3">
        <v>0</v>
      </c>
      <c r="BS18" s="3">
        <f>BO18-BP18-BQ18+BR18</f>
        <v>26356091.750000004</v>
      </c>
      <c r="BT18" s="3">
        <f>BS18/1000</f>
        <v>26356.091750000003</v>
      </c>
      <c r="BV18" s="128">
        <v>27875272.5</v>
      </c>
      <c r="BW18" s="3">
        <v>1303586.9</v>
      </c>
      <c r="BX18" s="3">
        <v>0</v>
      </c>
      <c r="BY18" s="128">
        <v>0</v>
      </c>
      <c r="BZ18" s="3">
        <f>BV18-BW18-BX18+BY18</f>
        <v>26571685.6</v>
      </c>
      <c r="CA18" s="3">
        <f>BZ18/1000</f>
        <v>26571.6856</v>
      </c>
    </row>
    <row r="19" spans="1:79" ht="12.75">
      <c r="A19" s="1" t="s">
        <v>12</v>
      </c>
      <c r="B19" s="14">
        <v>84984</v>
      </c>
      <c r="C19" s="14">
        <v>91467</v>
      </c>
      <c r="D19" s="14">
        <v>99210</v>
      </c>
      <c r="E19" s="14">
        <v>102919</v>
      </c>
      <c r="F19" s="14">
        <v>109682</v>
      </c>
      <c r="G19" s="14">
        <v>116405.52960999997</v>
      </c>
      <c r="H19" s="14">
        <v>122968.61026999998</v>
      </c>
      <c r="I19" s="14">
        <v>133248.72446000003</v>
      </c>
      <c r="J19" s="14">
        <v>137681.44178999995</v>
      </c>
      <c r="K19" s="14">
        <v>136876.46855000002</v>
      </c>
      <c r="L19" s="245">
        <f>(K19-J19)*100/J19</f>
        <v>-0.5846635752316769</v>
      </c>
      <c r="M19" s="48">
        <f>(K19-AC19)*100/AC19</f>
        <v>86.3076013366364</v>
      </c>
      <c r="N19" s="14">
        <v>30023</v>
      </c>
      <c r="O19" s="14">
        <v>31815</v>
      </c>
      <c r="P19" s="14">
        <v>34743</v>
      </c>
      <c r="Q19" s="27">
        <v>39526</v>
      </c>
      <c r="R19" s="27">
        <v>45617</v>
      </c>
      <c r="S19" s="27">
        <v>50563</v>
      </c>
      <c r="T19" s="27">
        <v>55504</v>
      </c>
      <c r="U19" s="27">
        <v>57671</v>
      </c>
      <c r="V19" s="27">
        <v>59591</v>
      </c>
      <c r="W19" s="27">
        <v>63426</v>
      </c>
      <c r="X19" s="14">
        <f>71141.464-2057.375</f>
        <v>69084.089</v>
      </c>
      <c r="Y19" s="27">
        <v>70589</v>
      </c>
      <c r="Z19" s="14">
        <v>73093</v>
      </c>
      <c r="AA19" s="14">
        <v>73093</v>
      </c>
      <c r="AB19" s="14">
        <v>68675</v>
      </c>
      <c r="AC19" s="14">
        <v>73468</v>
      </c>
      <c r="AD19" s="14">
        <v>77431</v>
      </c>
      <c r="AE19" s="14"/>
      <c r="AF19" s="3">
        <v>104868715</v>
      </c>
      <c r="AG19" s="92">
        <v>1514553.54</v>
      </c>
      <c r="AH19" s="41">
        <v>442401.12</v>
      </c>
      <c r="AI19" s="41">
        <v>7322</v>
      </c>
      <c r="AJ19" s="3">
        <f>AF19-AG19-AH19+AI19</f>
        <v>102919082.33999999</v>
      </c>
      <c r="AK19" s="3">
        <f>AJ19/1000</f>
        <v>102919.08234</v>
      </c>
      <c r="AM19" s="3">
        <v>112113038</v>
      </c>
      <c r="AN19" s="92">
        <v>1959508.12</v>
      </c>
      <c r="AO19" s="41">
        <v>482403.78</v>
      </c>
      <c r="AP19" s="41">
        <v>10819.14</v>
      </c>
      <c r="AQ19" s="3">
        <f>AM19-AN19-AO19+AP19</f>
        <v>109681945.24</v>
      </c>
      <c r="AR19" s="3">
        <f>AQ19/1000</f>
        <v>109681.94524</v>
      </c>
      <c r="AT19" s="241">
        <v>118318464.09999998</v>
      </c>
      <c r="AU19" s="92">
        <v>1417983.93</v>
      </c>
      <c r="AV19" s="41">
        <v>496503.56</v>
      </c>
      <c r="AW19" s="41">
        <v>1553</v>
      </c>
      <c r="AX19" s="3">
        <f>AT19-AU19-AV19+AW19</f>
        <v>116405529.60999997</v>
      </c>
      <c r="AY19" s="3">
        <f>AX19/1000</f>
        <v>116405.52960999997</v>
      </c>
      <c r="BA19" s="3">
        <v>125138312.21</v>
      </c>
      <c r="BB19" s="3">
        <v>1553258.51</v>
      </c>
      <c r="BC19" s="3">
        <v>616443.43</v>
      </c>
      <c r="BD19" s="3">
        <v>0</v>
      </c>
      <c r="BE19" s="3">
        <f>BA19-BB19-BC19+BD19</f>
        <v>122968610.26999998</v>
      </c>
      <c r="BF19" s="3">
        <f>BE19/1000</f>
        <v>122968.61026999998</v>
      </c>
      <c r="BH19" s="3">
        <v>134809298.98000002</v>
      </c>
      <c r="BI19" s="3">
        <v>1213903.66</v>
      </c>
      <c r="BJ19" s="3">
        <v>346670.86</v>
      </c>
      <c r="BK19" s="3">
        <v>0</v>
      </c>
      <c r="BL19" s="3">
        <f>BH19-BI19-BJ19+BK19</f>
        <v>133248724.46000002</v>
      </c>
      <c r="BM19" s="3">
        <f>BL19/1000</f>
        <v>133248.72446000003</v>
      </c>
      <c r="BO19" s="3">
        <v>139645316.89999998</v>
      </c>
      <c r="BP19" s="3">
        <v>1963875.1099999999</v>
      </c>
      <c r="BQ19" s="3">
        <v>0</v>
      </c>
      <c r="BR19" s="3">
        <v>0</v>
      </c>
      <c r="BS19" s="3">
        <f>BO19-BP19-BQ19+BR19</f>
        <v>137681441.78999996</v>
      </c>
      <c r="BT19" s="3">
        <f>BS19/1000</f>
        <v>137681.44178999995</v>
      </c>
      <c r="BV19" s="128">
        <v>137326443.46</v>
      </c>
      <c r="BW19" s="3">
        <v>449974.91000000003</v>
      </c>
      <c r="BX19" s="3">
        <v>0</v>
      </c>
      <c r="BY19" s="128">
        <v>0</v>
      </c>
      <c r="BZ19" s="3">
        <f>BV19-BW19-BX19+BY19</f>
        <v>136876468.55</v>
      </c>
      <c r="CA19" s="3">
        <f>BZ19/1000</f>
        <v>136876.46855000002</v>
      </c>
    </row>
    <row r="20" spans="1:79" ht="12.75">
      <c r="A20" s="1" t="s">
        <v>13</v>
      </c>
      <c r="B20" s="14">
        <v>47999</v>
      </c>
      <c r="C20" s="14">
        <v>50693</v>
      </c>
      <c r="D20" s="14">
        <v>53336</v>
      </c>
      <c r="E20" s="14">
        <v>54880</v>
      </c>
      <c r="F20" s="14">
        <v>58287</v>
      </c>
      <c r="G20" s="14">
        <v>62697.68717000001</v>
      </c>
      <c r="H20" s="14">
        <v>66912.51165999999</v>
      </c>
      <c r="I20" s="14">
        <v>70186.46402</v>
      </c>
      <c r="J20" s="14">
        <v>72386.02956999998</v>
      </c>
      <c r="K20" s="14">
        <v>73635.39439999999</v>
      </c>
      <c r="L20" s="245">
        <f>(K20-J20)*100/J20</f>
        <v>1.72597507754148</v>
      </c>
      <c r="M20" s="48">
        <f>(K20-AC20)*100/AC20</f>
        <v>76.02226567542368</v>
      </c>
      <c r="N20" s="14">
        <v>18712</v>
      </c>
      <c r="O20" s="14">
        <v>19522</v>
      </c>
      <c r="P20" s="14">
        <v>21055</v>
      </c>
      <c r="Q20" s="27">
        <v>23708</v>
      </c>
      <c r="R20" s="27">
        <v>26117</v>
      </c>
      <c r="S20" s="27">
        <v>28942</v>
      </c>
      <c r="T20" s="27">
        <v>31223</v>
      </c>
      <c r="U20" s="27">
        <v>33039</v>
      </c>
      <c r="V20" s="27">
        <v>33760</v>
      </c>
      <c r="W20" s="27">
        <v>35248</v>
      </c>
      <c r="X20" s="14">
        <f>39098.097-710.151</f>
        <v>38387.946</v>
      </c>
      <c r="Y20" s="27">
        <v>39673</v>
      </c>
      <c r="Z20" s="14">
        <v>41709</v>
      </c>
      <c r="AA20" s="14">
        <v>41709</v>
      </c>
      <c r="AB20" s="14">
        <v>38973</v>
      </c>
      <c r="AC20" s="14">
        <v>41833</v>
      </c>
      <c r="AD20" s="14">
        <v>43844</v>
      </c>
      <c r="AE20" s="14"/>
      <c r="AF20" s="3">
        <v>55891093</v>
      </c>
      <c r="AG20" s="92">
        <v>1011234.98</v>
      </c>
      <c r="AH20" s="41">
        <v>0</v>
      </c>
      <c r="AI20" s="41"/>
      <c r="AJ20" s="3">
        <f>AF20-AG20-AH20+AI20</f>
        <v>54879858.02</v>
      </c>
      <c r="AK20" s="3">
        <f>AJ20/1000</f>
        <v>54879.85802</v>
      </c>
      <c r="AM20" s="3">
        <v>59122471</v>
      </c>
      <c r="AN20" s="92">
        <v>835124.58</v>
      </c>
      <c r="AO20" s="41">
        <v>0</v>
      </c>
      <c r="AP20" s="41">
        <v>0</v>
      </c>
      <c r="AQ20" s="3">
        <f>AM20-AN20-AO20+AP20</f>
        <v>58287346.42</v>
      </c>
      <c r="AR20" s="3">
        <f>AQ20/1000</f>
        <v>58287.34642</v>
      </c>
      <c r="AT20" s="241">
        <v>64109941.71000001</v>
      </c>
      <c r="AU20" s="92">
        <v>1412254.54</v>
      </c>
      <c r="AV20" s="41">
        <v>0</v>
      </c>
      <c r="AW20" s="41">
        <v>0</v>
      </c>
      <c r="AX20" s="3">
        <f>AT20-AU20-AV20+AW20</f>
        <v>62697687.17000001</v>
      </c>
      <c r="AY20" s="3">
        <f>AX20/1000</f>
        <v>62697.68717000001</v>
      </c>
      <c r="BA20" s="3">
        <v>68706666.22999999</v>
      </c>
      <c r="BB20" s="3">
        <v>1794154.57</v>
      </c>
      <c r="BC20" s="3">
        <v>0</v>
      </c>
      <c r="BD20" s="3">
        <v>0</v>
      </c>
      <c r="BE20" s="3">
        <f>BA20-BB20-BC20+BD20</f>
        <v>66912511.65999999</v>
      </c>
      <c r="BF20" s="3">
        <f>BE20/1000</f>
        <v>66912.51165999999</v>
      </c>
      <c r="BH20" s="3">
        <v>71184953.89999999</v>
      </c>
      <c r="BI20" s="3">
        <v>998489.88</v>
      </c>
      <c r="BJ20" s="3">
        <v>0</v>
      </c>
      <c r="BK20" s="3">
        <v>0</v>
      </c>
      <c r="BL20" s="3">
        <f>BH20-BI20-BJ20+BK20</f>
        <v>70186464.02</v>
      </c>
      <c r="BM20" s="3">
        <f>BL20/1000</f>
        <v>70186.46402</v>
      </c>
      <c r="BO20" s="3">
        <v>73864009.49999999</v>
      </c>
      <c r="BP20" s="3">
        <v>1477979.93</v>
      </c>
      <c r="BQ20" s="3">
        <v>0</v>
      </c>
      <c r="BR20" s="3">
        <v>0</v>
      </c>
      <c r="BS20" s="3">
        <f>BO20-BP20-BQ20+BR20</f>
        <v>72386029.56999998</v>
      </c>
      <c r="BT20" s="3">
        <f>BS20/1000</f>
        <v>72386.02956999998</v>
      </c>
      <c r="BV20" s="128">
        <v>75938899.42999999</v>
      </c>
      <c r="BW20" s="3">
        <v>2303505.03</v>
      </c>
      <c r="BX20" s="3">
        <v>0</v>
      </c>
      <c r="BY20" s="128">
        <v>0</v>
      </c>
      <c r="BZ20" s="3">
        <f>BV20-BW20-BX20+BY20</f>
        <v>73635394.39999999</v>
      </c>
      <c r="CA20" s="3">
        <f>BZ20/1000</f>
        <v>73635.39439999999</v>
      </c>
    </row>
    <row r="21" spans="1:79" ht="12.75">
      <c r="A21" s="1" t="s">
        <v>14</v>
      </c>
      <c r="B21" s="14">
        <v>72793</v>
      </c>
      <c r="C21" s="14">
        <v>79692</v>
      </c>
      <c r="D21" s="14">
        <v>85339</v>
      </c>
      <c r="E21" s="14">
        <v>90185</v>
      </c>
      <c r="F21" s="14">
        <v>98119</v>
      </c>
      <c r="G21" s="14">
        <v>107776.78188000002</v>
      </c>
      <c r="H21" s="14">
        <v>119633.32745000001</v>
      </c>
      <c r="I21" s="14">
        <v>129970.60878</v>
      </c>
      <c r="J21" s="14">
        <v>133652.93028999996</v>
      </c>
      <c r="K21" s="14">
        <v>134632.17068</v>
      </c>
      <c r="L21" s="245">
        <f>(K21-J21)*100/J21</f>
        <v>0.7326740894309578</v>
      </c>
      <c r="M21" s="48">
        <f>(K21-AC21)*100/AC21</f>
        <v>121.62768643719033</v>
      </c>
      <c r="N21" s="14">
        <v>25149</v>
      </c>
      <c r="O21" s="14">
        <v>26203</v>
      </c>
      <c r="P21" s="14">
        <v>29211</v>
      </c>
      <c r="Q21" s="27">
        <v>32875</v>
      </c>
      <c r="R21" s="27">
        <v>36911</v>
      </c>
      <c r="S21" s="27">
        <v>41745</v>
      </c>
      <c r="T21" s="27">
        <v>45678</v>
      </c>
      <c r="U21" s="27">
        <v>47510</v>
      </c>
      <c r="V21" s="27">
        <v>50839</v>
      </c>
      <c r="W21" s="27">
        <v>54251</v>
      </c>
      <c r="X21" s="14">
        <f>57151.192-118.053-23.321</f>
        <v>57009.818</v>
      </c>
      <c r="Y21" s="27">
        <v>57715</v>
      </c>
      <c r="Z21" s="14">
        <v>60078</v>
      </c>
      <c r="AA21" s="14">
        <v>60078</v>
      </c>
      <c r="AB21" s="14">
        <v>56612</v>
      </c>
      <c r="AC21" s="14">
        <v>60747</v>
      </c>
      <c r="AD21" s="14">
        <v>66034</v>
      </c>
      <c r="AE21" s="14"/>
      <c r="AF21" s="3">
        <v>91630733</v>
      </c>
      <c r="AG21" s="92">
        <v>812318.79</v>
      </c>
      <c r="AH21" s="41">
        <v>632771.39</v>
      </c>
      <c r="AI21" s="41">
        <v>-337.15</v>
      </c>
      <c r="AJ21" s="3">
        <f>AF21-AG21-AH21+AI21</f>
        <v>90185305.66999999</v>
      </c>
      <c r="AK21" s="3">
        <f>AJ21/1000</f>
        <v>90185.30566999999</v>
      </c>
      <c r="AM21" s="3">
        <v>99894932</v>
      </c>
      <c r="AN21" s="92">
        <v>1069852.49</v>
      </c>
      <c r="AO21" s="41">
        <v>706268.06</v>
      </c>
      <c r="AP21" s="41">
        <v>0</v>
      </c>
      <c r="AQ21" s="3">
        <f>AM21-AN21-AO21+AP21</f>
        <v>98118811.45</v>
      </c>
      <c r="AR21" s="3">
        <f>AQ21/1000</f>
        <v>98118.81145000001</v>
      </c>
      <c r="AT21" s="241">
        <v>109179784.71000002</v>
      </c>
      <c r="AU21" s="92">
        <v>647941.7</v>
      </c>
      <c r="AV21" s="41">
        <v>755061.13</v>
      </c>
      <c r="AW21" s="41">
        <v>0</v>
      </c>
      <c r="AX21" s="3">
        <f>AT21-AU21-AV21+AW21</f>
        <v>107776781.88000003</v>
      </c>
      <c r="AY21" s="3">
        <f>AX21/1000</f>
        <v>107776.78188000002</v>
      </c>
      <c r="BA21" s="3">
        <v>121220133.07000002</v>
      </c>
      <c r="BB21" s="3">
        <v>850665.68</v>
      </c>
      <c r="BC21" s="3">
        <v>736139.94</v>
      </c>
      <c r="BD21" s="3">
        <v>0</v>
      </c>
      <c r="BE21" s="3">
        <f>BA21-BB21-BC21+BD21</f>
        <v>119633327.45000002</v>
      </c>
      <c r="BF21" s="3">
        <f>BE21/1000</f>
        <v>119633.32745000001</v>
      </c>
      <c r="BH21" s="3">
        <v>131494013.58</v>
      </c>
      <c r="BI21" s="3">
        <v>691612.24</v>
      </c>
      <c r="BJ21" s="3">
        <v>831792.56</v>
      </c>
      <c r="BK21" s="3">
        <v>0</v>
      </c>
      <c r="BL21" s="3">
        <f>BH21-BI21-BJ21+BK21</f>
        <v>129970608.78</v>
      </c>
      <c r="BM21" s="3">
        <f>BL21/1000</f>
        <v>129970.60878</v>
      </c>
      <c r="BO21" s="3">
        <v>135515180.93999997</v>
      </c>
      <c r="BP21" s="3">
        <v>980327.72</v>
      </c>
      <c r="BQ21" s="3">
        <v>884024.93</v>
      </c>
      <c r="BR21" s="3">
        <v>2102</v>
      </c>
      <c r="BS21" s="3">
        <f>BO21-BP21-BQ21+BR21</f>
        <v>133652930.28999996</v>
      </c>
      <c r="BT21" s="3">
        <f>BS21/1000</f>
        <v>133652.93028999996</v>
      </c>
      <c r="BV21" s="128">
        <v>135594432.51999998</v>
      </c>
      <c r="BW21" s="3">
        <v>218645.95</v>
      </c>
      <c r="BX21" s="3">
        <v>743615.8899999999</v>
      </c>
      <c r="BY21" s="128">
        <v>0</v>
      </c>
      <c r="BZ21" s="3">
        <f>BV21-BW21-BX21+BY21</f>
        <v>134632170.68</v>
      </c>
      <c r="CA21" s="3">
        <f>BZ21/1000</f>
        <v>134632.17068</v>
      </c>
    </row>
    <row r="22" spans="1:79" ht="12.75">
      <c r="A22" s="1" t="s">
        <v>15</v>
      </c>
      <c r="B22" s="14">
        <v>17696</v>
      </c>
      <c r="C22" s="14">
        <v>17196</v>
      </c>
      <c r="D22" s="14">
        <v>17909</v>
      </c>
      <c r="E22" s="14">
        <v>18797</v>
      </c>
      <c r="F22" s="14">
        <v>19507</v>
      </c>
      <c r="G22" s="14">
        <v>20450.568839999996</v>
      </c>
      <c r="H22" s="14">
        <v>21645.09080999999</v>
      </c>
      <c r="I22" s="14">
        <v>23776.07349000001</v>
      </c>
      <c r="J22" s="14">
        <v>23899.5435</v>
      </c>
      <c r="K22" s="14">
        <v>23158.346610000004</v>
      </c>
      <c r="L22" s="245">
        <f>(K22-J22)*100/J22</f>
        <v>-3.1013014537285852</v>
      </c>
      <c r="M22" s="48">
        <f>(K22-AC22)*100/AC22</f>
        <v>48.29883843493855</v>
      </c>
      <c r="N22" s="14">
        <v>8506</v>
      </c>
      <c r="O22" s="14">
        <v>8672</v>
      </c>
      <c r="P22" s="14">
        <v>9145</v>
      </c>
      <c r="Q22" s="27">
        <v>10054</v>
      </c>
      <c r="R22" s="27">
        <v>10969</v>
      </c>
      <c r="S22" s="27">
        <v>11962</v>
      </c>
      <c r="T22" s="27">
        <v>12669</v>
      </c>
      <c r="U22" s="27">
        <v>12445</v>
      </c>
      <c r="V22" s="27">
        <v>12971</v>
      </c>
      <c r="W22" s="27">
        <v>13637</v>
      </c>
      <c r="X22" s="14">
        <f>14952.289-196.886</f>
        <v>14755.403</v>
      </c>
      <c r="Y22" s="27">
        <v>14843</v>
      </c>
      <c r="Z22" s="14">
        <v>15911</v>
      </c>
      <c r="AA22" s="14">
        <v>15911</v>
      </c>
      <c r="AB22" s="14">
        <v>15280</v>
      </c>
      <c r="AC22" s="14">
        <v>15616</v>
      </c>
      <c r="AD22" s="14">
        <v>16967</v>
      </c>
      <c r="AE22" s="14"/>
      <c r="AF22" s="3">
        <v>19124644</v>
      </c>
      <c r="AG22" s="92">
        <v>49278.81</v>
      </c>
      <c r="AH22" s="41">
        <v>278664.81</v>
      </c>
      <c r="AI22" s="83">
        <v>0</v>
      </c>
      <c r="AJ22" s="3">
        <f>AF22-AG22-AH22+AI22</f>
        <v>18796700.380000003</v>
      </c>
      <c r="AK22" s="3">
        <f>AJ22/1000</f>
        <v>18796.700380000002</v>
      </c>
      <c r="AM22" s="3">
        <v>20244326</v>
      </c>
      <c r="AN22" s="92">
        <v>441667.1</v>
      </c>
      <c r="AO22" s="41">
        <v>309026.42</v>
      </c>
      <c r="AP22" s="83">
        <v>13752</v>
      </c>
      <c r="AQ22" s="3">
        <f>AM22-AN22-AO22+AP22</f>
        <v>19507384.479999997</v>
      </c>
      <c r="AR22" s="3">
        <f>AQ22/1000</f>
        <v>19507.384479999997</v>
      </c>
      <c r="AT22" s="241">
        <v>20786097.889999997</v>
      </c>
      <c r="AU22" s="92">
        <v>62767.64</v>
      </c>
      <c r="AV22" s="41">
        <v>272761.41</v>
      </c>
      <c r="AW22" s="83">
        <v>0</v>
      </c>
      <c r="AX22" s="3">
        <f>AT22-AU22-AV22+AW22</f>
        <v>20450568.839999996</v>
      </c>
      <c r="AY22" s="3">
        <f>AX22/1000</f>
        <v>20450.568839999996</v>
      </c>
      <c r="BA22" s="3">
        <v>22233943.019999992</v>
      </c>
      <c r="BB22" s="3">
        <v>191959.43</v>
      </c>
      <c r="BC22" s="3">
        <v>396892.78</v>
      </c>
      <c r="BD22" s="3">
        <v>0</v>
      </c>
      <c r="BE22" s="3">
        <f>BA22-BB22-BC22+BD22</f>
        <v>21645090.80999999</v>
      </c>
      <c r="BF22" s="3">
        <f>BE22/1000</f>
        <v>21645.09080999999</v>
      </c>
      <c r="BH22" s="3">
        <v>24303907.58000001</v>
      </c>
      <c r="BI22" s="3">
        <v>55182.26</v>
      </c>
      <c r="BJ22" s="3">
        <v>472651.83</v>
      </c>
      <c r="BK22" s="3">
        <v>0</v>
      </c>
      <c r="BL22" s="3">
        <f>BH22-BI22-BJ22+BK22</f>
        <v>23776073.49000001</v>
      </c>
      <c r="BM22" s="3">
        <f>BL22/1000</f>
        <v>23776.07349000001</v>
      </c>
      <c r="BO22" s="3">
        <v>24127185.53</v>
      </c>
      <c r="BP22" s="3">
        <v>92111.34000000001</v>
      </c>
      <c r="BQ22" s="3">
        <v>135530.69</v>
      </c>
      <c r="BR22" s="3">
        <v>0</v>
      </c>
      <c r="BS22" s="3">
        <f>BO22-BP22-BQ22+BR22</f>
        <v>23899543.5</v>
      </c>
      <c r="BT22" s="3">
        <f>BS22/1000</f>
        <v>23899.5435</v>
      </c>
      <c r="BV22" s="128">
        <v>23243279.6</v>
      </c>
      <c r="BW22" s="3">
        <v>31604.989999999998</v>
      </c>
      <c r="BX22" s="3">
        <v>53328</v>
      </c>
      <c r="BY22" s="128">
        <v>0</v>
      </c>
      <c r="BZ22" s="3">
        <f>BV22-BW22-BX22+BY22</f>
        <v>23158346.610000003</v>
      </c>
      <c r="CA22" s="3">
        <f>BZ22/1000</f>
        <v>23158.346610000004</v>
      </c>
    </row>
    <row r="23" spans="2:77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48"/>
      <c r="M23" s="48"/>
      <c r="N23" s="14"/>
      <c r="P23" s="14"/>
      <c r="Q23" s="27"/>
      <c r="R23" s="27"/>
      <c r="S23" s="27"/>
      <c r="T23" s="27"/>
      <c r="U23" s="27"/>
      <c r="V23" s="27"/>
      <c r="W23" s="27"/>
      <c r="X23" s="14"/>
      <c r="Y23" s="27"/>
      <c r="Z23" s="14"/>
      <c r="AA23" s="14"/>
      <c r="AB23" s="14"/>
      <c r="AC23" s="14"/>
      <c r="AD23" s="14"/>
      <c r="AE23" s="14"/>
      <c r="AG23" s="92"/>
      <c r="AH23" s="41"/>
      <c r="AI23" s="41"/>
      <c r="AN23" s="92"/>
      <c r="AO23" s="41"/>
      <c r="AP23" s="41"/>
      <c r="AT23" s="241"/>
      <c r="AU23" s="92"/>
      <c r="AV23" s="41"/>
      <c r="AW23" s="41"/>
      <c r="BV23" s="128"/>
      <c r="BY23" s="128"/>
    </row>
    <row r="24" spans="1:79" ht="12.75">
      <c r="A24" s="1" t="s">
        <v>16</v>
      </c>
      <c r="B24" s="14">
        <v>119479</v>
      </c>
      <c r="C24" s="14">
        <v>131871</v>
      </c>
      <c r="D24" s="14">
        <v>137804</v>
      </c>
      <c r="E24" s="14">
        <v>145690</v>
      </c>
      <c r="F24" s="14">
        <v>152390</v>
      </c>
      <c r="G24" s="14">
        <v>163936.94832000005</v>
      </c>
      <c r="H24" s="14">
        <v>177579.09077999997</v>
      </c>
      <c r="I24" s="14">
        <v>197732.48007</v>
      </c>
      <c r="J24" s="14">
        <v>203162.62230000002</v>
      </c>
      <c r="K24" s="14">
        <v>200441.90148</v>
      </c>
      <c r="L24" s="245">
        <f>(K24-J24)*100/J24</f>
        <v>-1.339183748072746</v>
      </c>
      <c r="M24" s="48">
        <f>(K24-AC24)*100/AC24</f>
        <v>95.65233238325784</v>
      </c>
      <c r="N24" s="14">
        <v>39001</v>
      </c>
      <c r="O24" s="14">
        <v>40266</v>
      </c>
      <c r="P24" s="14">
        <v>44692</v>
      </c>
      <c r="Q24" s="27">
        <v>50258</v>
      </c>
      <c r="R24" s="27">
        <v>56947</v>
      </c>
      <c r="S24" s="27">
        <v>63873</v>
      </c>
      <c r="T24" s="27">
        <v>70050</v>
      </c>
      <c r="U24" s="27">
        <v>74463</v>
      </c>
      <c r="V24" s="27">
        <v>78553</v>
      </c>
      <c r="W24" s="27">
        <v>83685</v>
      </c>
      <c r="X24" s="14">
        <f>93077.869-1239.561</f>
        <v>91838.308</v>
      </c>
      <c r="Y24" s="27">
        <v>94258</v>
      </c>
      <c r="Z24" s="14">
        <v>97520</v>
      </c>
      <c r="AA24" s="14">
        <v>97520</v>
      </c>
      <c r="AB24" s="14">
        <v>94705</v>
      </c>
      <c r="AC24" s="14">
        <v>102448</v>
      </c>
      <c r="AD24" s="14">
        <v>108256</v>
      </c>
      <c r="AE24" s="14"/>
      <c r="AF24" s="3">
        <v>146985677</v>
      </c>
      <c r="AG24" s="92">
        <v>654078.3</v>
      </c>
      <c r="AH24" s="41">
        <v>641935.5</v>
      </c>
      <c r="AI24" s="41">
        <v>0</v>
      </c>
      <c r="AJ24" s="3">
        <f>AF24-AG24-AH24+AI24</f>
        <v>145689663.2</v>
      </c>
      <c r="AK24" s="3">
        <f>AJ24/1000</f>
        <v>145689.66319999998</v>
      </c>
      <c r="AM24" s="3">
        <v>153988856</v>
      </c>
      <c r="AN24" s="92">
        <v>852859.48</v>
      </c>
      <c r="AO24" s="41">
        <v>751022.9</v>
      </c>
      <c r="AP24" s="41">
        <v>4749</v>
      </c>
      <c r="AQ24" s="3">
        <f>AM24-AN24-AO24+AP24</f>
        <v>152389722.62</v>
      </c>
      <c r="AR24" s="3">
        <f>AQ24/1000</f>
        <v>152389.72262000002</v>
      </c>
      <c r="AT24" s="241">
        <v>165479896.99000004</v>
      </c>
      <c r="AU24" s="92">
        <v>681759.44</v>
      </c>
      <c r="AV24" s="41">
        <v>862332.23</v>
      </c>
      <c r="AW24" s="41">
        <v>1143</v>
      </c>
      <c r="AX24" s="3">
        <f>AT24-AU24-AV24+AW24</f>
        <v>163936948.32000005</v>
      </c>
      <c r="AY24" s="3">
        <f>AX24/1000</f>
        <v>163936.94832000005</v>
      </c>
      <c r="BA24" s="3">
        <v>178939717.73999995</v>
      </c>
      <c r="BB24" s="3">
        <v>431517.94</v>
      </c>
      <c r="BC24" s="3">
        <v>931379.67</v>
      </c>
      <c r="BD24" s="3">
        <v>2270.65</v>
      </c>
      <c r="BE24" s="3">
        <f>BA24-BB24-BC24+BD24</f>
        <v>177579090.77999997</v>
      </c>
      <c r="BF24" s="3">
        <f>BE24/1000</f>
        <v>177579.09077999997</v>
      </c>
      <c r="BH24" s="3">
        <v>199921348.5</v>
      </c>
      <c r="BI24" s="3">
        <v>1115729.06</v>
      </c>
      <c r="BJ24" s="3">
        <v>1073139.37</v>
      </c>
      <c r="BK24" s="3">
        <v>0</v>
      </c>
      <c r="BL24" s="3">
        <f>BH24-BI24-BJ24+BK24</f>
        <v>197732480.07</v>
      </c>
      <c r="BM24" s="3">
        <f>BL24/1000</f>
        <v>197732.48007</v>
      </c>
      <c r="BO24" s="3">
        <v>204927225.70000002</v>
      </c>
      <c r="BP24" s="3">
        <v>685107.3700000001</v>
      </c>
      <c r="BQ24" s="3">
        <v>1079496.03</v>
      </c>
      <c r="BR24" s="3">
        <v>0</v>
      </c>
      <c r="BS24" s="3">
        <f>BO24-BP24-BQ24+BR24</f>
        <v>203162622.3</v>
      </c>
      <c r="BT24" s="3">
        <f>BS24/1000</f>
        <v>203162.62230000002</v>
      </c>
      <c r="BV24" s="128">
        <v>202245999.42999998</v>
      </c>
      <c r="BW24" s="3">
        <v>494812.99999999994</v>
      </c>
      <c r="BX24" s="3">
        <v>1309284.9500000002</v>
      </c>
      <c r="BY24" s="128">
        <v>0</v>
      </c>
      <c r="BZ24" s="3">
        <f>BV24-BW24-BX24+BY24</f>
        <v>200441901.48</v>
      </c>
      <c r="CA24" s="3">
        <f>BZ24/1000</f>
        <v>200441.90148</v>
      </c>
    </row>
    <row r="25" spans="1:79" ht="12.75">
      <c r="A25" s="1" t="s">
        <v>17</v>
      </c>
      <c r="B25" s="14">
        <v>17901</v>
      </c>
      <c r="C25" s="14">
        <v>18791</v>
      </c>
      <c r="D25" s="14">
        <v>18688</v>
      </c>
      <c r="E25" s="14">
        <v>19111</v>
      </c>
      <c r="F25" s="14">
        <v>19516</v>
      </c>
      <c r="G25" s="14">
        <v>20181.505269999998</v>
      </c>
      <c r="H25" s="14">
        <v>21899.718960000006</v>
      </c>
      <c r="I25" s="14">
        <v>23273.995669999997</v>
      </c>
      <c r="J25" s="14">
        <v>23405.149750000004</v>
      </c>
      <c r="K25" s="14">
        <v>23653.108029999996</v>
      </c>
      <c r="L25" s="245">
        <f>(K25-J25)*100/J25</f>
        <v>1.0594176181247958</v>
      </c>
      <c r="M25" s="48">
        <f>(K25-AC25)*100/AC25</f>
        <v>50.62795663249058</v>
      </c>
      <c r="N25" s="14">
        <v>7694</v>
      </c>
      <c r="O25" s="14">
        <v>7925</v>
      </c>
      <c r="P25" s="14">
        <v>8842</v>
      </c>
      <c r="Q25" s="27">
        <v>9694</v>
      </c>
      <c r="R25" s="27">
        <v>10726</v>
      </c>
      <c r="S25" s="27">
        <v>11383</v>
      </c>
      <c r="T25" s="27">
        <v>12358</v>
      </c>
      <c r="U25" s="27">
        <v>12764</v>
      </c>
      <c r="V25" s="27">
        <v>13203</v>
      </c>
      <c r="W25" s="27">
        <v>13548</v>
      </c>
      <c r="X25" s="14">
        <f>14523.025-222.993</f>
        <v>14300.032</v>
      </c>
      <c r="Y25" s="27">
        <v>14987</v>
      </c>
      <c r="Z25" s="14">
        <v>16150</v>
      </c>
      <c r="AA25" s="14">
        <v>16150</v>
      </c>
      <c r="AB25" s="14">
        <v>14901</v>
      </c>
      <c r="AC25" s="14">
        <v>15703</v>
      </c>
      <c r="AD25" s="14">
        <v>16729</v>
      </c>
      <c r="AE25" s="14"/>
      <c r="AF25" s="3">
        <v>19317121</v>
      </c>
      <c r="AG25" s="92">
        <v>205872.94</v>
      </c>
      <c r="AH25" s="41">
        <v>0</v>
      </c>
      <c r="AI25" s="41">
        <v>0</v>
      </c>
      <c r="AJ25" s="3">
        <f>AF25-AG25-AH25+AI25</f>
        <v>19111248.06</v>
      </c>
      <c r="AK25" s="3">
        <f>AJ25/1000</f>
        <v>19111.248059999998</v>
      </c>
      <c r="AM25" s="3">
        <v>19701903</v>
      </c>
      <c r="AN25" s="92">
        <v>186051.01</v>
      </c>
      <c r="AO25" s="41">
        <v>0</v>
      </c>
      <c r="AP25" s="41">
        <v>0</v>
      </c>
      <c r="AQ25" s="3">
        <f>AM25-AN25-AO25+AP25</f>
        <v>19515851.99</v>
      </c>
      <c r="AR25" s="3">
        <f>AQ25/1000</f>
        <v>19515.85199</v>
      </c>
      <c r="AT25" s="241">
        <v>20468100.599999998</v>
      </c>
      <c r="AU25" s="92">
        <v>286595.33</v>
      </c>
      <c r="AV25" s="41">
        <v>0</v>
      </c>
      <c r="AW25" s="41">
        <v>0</v>
      </c>
      <c r="AX25" s="3">
        <f>AT25-AU25-AV25+AW25</f>
        <v>20181505.27</v>
      </c>
      <c r="AY25" s="3">
        <f>AX25/1000</f>
        <v>20181.505269999998</v>
      </c>
      <c r="BA25" s="3">
        <v>22194779.500000004</v>
      </c>
      <c r="BB25" s="3">
        <v>295060.54</v>
      </c>
      <c r="BC25" s="3">
        <v>0</v>
      </c>
      <c r="BD25" s="3">
        <v>0</v>
      </c>
      <c r="BE25" s="3">
        <f>BA25-BB25-BC25+BD25</f>
        <v>21899718.960000005</v>
      </c>
      <c r="BF25" s="3">
        <f>BE25/1000</f>
        <v>21899.718960000006</v>
      </c>
      <c r="BH25" s="3">
        <v>23709802.869999997</v>
      </c>
      <c r="BI25" s="3">
        <v>435807.2</v>
      </c>
      <c r="BJ25" s="3">
        <v>0</v>
      </c>
      <c r="BK25" s="3">
        <v>0</v>
      </c>
      <c r="BL25" s="3">
        <f>BH25-BI25-BJ25+BK25</f>
        <v>23273995.669999998</v>
      </c>
      <c r="BM25" s="3">
        <f>BL25/1000</f>
        <v>23273.995669999997</v>
      </c>
      <c r="BO25" s="3">
        <v>23652233.160000004</v>
      </c>
      <c r="BP25" s="3">
        <v>247083.41</v>
      </c>
      <c r="BQ25" s="3">
        <v>0</v>
      </c>
      <c r="BR25" s="3">
        <v>0</v>
      </c>
      <c r="BS25" s="3">
        <f>BO25-BP25-BQ25+BR25</f>
        <v>23405149.750000004</v>
      </c>
      <c r="BT25" s="3">
        <f>BS25/1000</f>
        <v>23405.149750000004</v>
      </c>
      <c r="BV25" s="128">
        <v>23898776.22</v>
      </c>
      <c r="BW25" s="3">
        <v>245668.18999999997</v>
      </c>
      <c r="BX25" s="3">
        <v>0</v>
      </c>
      <c r="BY25" s="128">
        <v>0</v>
      </c>
      <c r="BZ25" s="3">
        <f>BV25-BW25-BX25+BY25</f>
        <v>23653108.029999997</v>
      </c>
      <c r="CA25" s="3">
        <f>BZ25/1000</f>
        <v>23653.108029999996</v>
      </c>
    </row>
    <row r="26" spans="1:79" ht="12.75">
      <c r="A26" s="1" t="s">
        <v>18</v>
      </c>
      <c r="B26" s="14">
        <v>121499</v>
      </c>
      <c r="C26" s="14">
        <v>132637</v>
      </c>
      <c r="D26" s="14">
        <v>138521</v>
      </c>
      <c r="E26" s="14">
        <v>137801</v>
      </c>
      <c r="F26" s="14">
        <v>140547</v>
      </c>
      <c r="G26" s="14">
        <v>158258.00561999998</v>
      </c>
      <c r="H26" s="14">
        <v>175228.43623000002</v>
      </c>
      <c r="I26" s="14">
        <v>184380.83917000005</v>
      </c>
      <c r="J26" s="14">
        <v>184848.13799000002</v>
      </c>
      <c r="K26" s="14">
        <v>181531.80219999995</v>
      </c>
      <c r="L26" s="245">
        <f>(K26-J26)*100/J26</f>
        <v>-1.7940866627390526</v>
      </c>
      <c r="M26" s="48">
        <f>(K26-AC26)*100/AC26</f>
        <v>66.36436320646641</v>
      </c>
      <c r="N26" s="14">
        <v>44168</v>
      </c>
      <c r="O26" s="14">
        <v>47264</v>
      </c>
      <c r="P26" s="14">
        <v>52376</v>
      </c>
      <c r="Q26" s="27">
        <v>57089</v>
      </c>
      <c r="R26" s="27">
        <v>64880</v>
      </c>
      <c r="S26" s="27">
        <v>71405</v>
      </c>
      <c r="T26" s="27">
        <v>77883</v>
      </c>
      <c r="U26" s="27">
        <v>81808</v>
      </c>
      <c r="V26" s="27">
        <v>86842</v>
      </c>
      <c r="W26" s="27">
        <v>92867</v>
      </c>
      <c r="X26" s="14">
        <f>101340.503-897.475</f>
        <v>100443.02799999999</v>
      </c>
      <c r="Y26" s="27">
        <v>103451</v>
      </c>
      <c r="Z26" s="14">
        <v>108332</v>
      </c>
      <c r="AA26" s="14">
        <v>108332</v>
      </c>
      <c r="AB26" s="14">
        <v>103838</v>
      </c>
      <c r="AC26" s="14">
        <v>109117</v>
      </c>
      <c r="AD26" s="14">
        <v>113775</v>
      </c>
      <c r="AE26" s="14"/>
      <c r="AF26" s="3">
        <v>139046609</v>
      </c>
      <c r="AG26" s="92">
        <v>1245668.07</v>
      </c>
      <c r="AH26" s="41">
        <v>0</v>
      </c>
      <c r="AI26" s="41">
        <v>0</v>
      </c>
      <c r="AJ26" s="3">
        <f>AF26-AG26-AH26+AI26</f>
        <v>137800940.93</v>
      </c>
      <c r="AK26" s="3">
        <f>AJ26/1000</f>
        <v>137800.94093</v>
      </c>
      <c r="AM26" s="3">
        <v>142327929</v>
      </c>
      <c r="AN26" s="92">
        <v>1781024.58</v>
      </c>
      <c r="AO26" s="41">
        <v>0</v>
      </c>
      <c r="AP26" s="41">
        <v>0</v>
      </c>
      <c r="AQ26" s="3">
        <f>AM26-AN26-AO26+AP26</f>
        <v>140546904.42</v>
      </c>
      <c r="AR26" s="3">
        <f>AQ26/1000</f>
        <v>140546.90441999998</v>
      </c>
      <c r="AT26" s="241">
        <v>160758235.92</v>
      </c>
      <c r="AU26" s="92">
        <v>2500230.3</v>
      </c>
      <c r="AV26" s="41">
        <v>0</v>
      </c>
      <c r="AW26" s="41">
        <v>0</v>
      </c>
      <c r="AX26" s="3">
        <f>AT26-AU26-AV26+AW26</f>
        <v>158258005.61999997</v>
      </c>
      <c r="AY26" s="3">
        <f>AX26/1000</f>
        <v>158258.00561999998</v>
      </c>
      <c r="BA26" s="3">
        <v>177649225.46</v>
      </c>
      <c r="BB26" s="3">
        <v>2420789.23</v>
      </c>
      <c r="BC26" s="3">
        <v>0</v>
      </c>
      <c r="BD26" s="3">
        <v>0</v>
      </c>
      <c r="BE26" s="3">
        <f>BA26-BB26-BC26+BD26</f>
        <v>175228436.23000002</v>
      </c>
      <c r="BF26" s="3">
        <f>BE26/1000</f>
        <v>175228.43623000002</v>
      </c>
      <c r="BH26" s="3">
        <v>186642925.91000006</v>
      </c>
      <c r="BI26" s="3">
        <v>2262086.74</v>
      </c>
      <c r="BJ26" s="3">
        <v>0</v>
      </c>
      <c r="BK26" s="3">
        <v>0</v>
      </c>
      <c r="BL26" s="3">
        <f>BH26-BI26-BJ26+BK26</f>
        <v>184380839.17000005</v>
      </c>
      <c r="BM26" s="3">
        <f>BL26/1000</f>
        <v>184380.83917000005</v>
      </c>
      <c r="BO26" s="3">
        <v>186876061.03</v>
      </c>
      <c r="BP26" s="3">
        <v>2027923.0399999998</v>
      </c>
      <c r="BQ26" s="3">
        <v>0</v>
      </c>
      <c r="BR26" s="3">
        <v>0</v>
      </c>
      <c r="BS26" s="3">
        <f>BO26-BP26-BQ26+BR26</f>
        <v>184848137.99</v>
      </c>
      <c r="BT26" s="3">
        <f>BS26/1000</f>
        <v>184848.13799000002</v>
      </c>
      <c r="BV26" s="128">
        <v>183326294.46999997</v>
      </c>
      <c r="BW26" s="3">
        <v>1794492.27</v>
      </c>
      <c r="BX26" s="3">
        <v>0</v>
      </c>
      <c r="BY26" s="128">
        <v>0</v>
      </c>
      <c r="BZ26" s="3">
        <f>BV26-BW26-BX26+BY26</f>
        <v>181531802.19999996</v>
      </c>
      <c r="CA26" s="3">
        <f>BZ26/1000</f>
        <v>181531.80219999995</v>
      </c>
    </row>
    <row r="27" spans="1:79" ht="12.75">
      <c r="A27" s="1" t="s">
        <v>19</v>
      </c>
      <c r="B27" s="14">
        <v>165835</v>
      </c>
      <c r="C27" s="14">
        <v>181299</v>
      </c>
      <c r="D27" s="14">
        <v>188363</v>
      </c>
      <c r="E27" s="14">
        <v>205744</v>
      </c>
      <c r="F27" s="14">
        <v>217697</v>
      </c>
      <c r="G27" s="14">
        <v>232223.33193000001</v>
      </c>
      <c r="H27" s="14">
        <v>246371.39059</v>
      </c>
      <c r="I27" s="14">
        <v>277522.41922000004</v>
      </c>
      <c r="J27" s="14">
        <v>296826.5013</v>
      </c>
      <c r="K27" s="14">
        <v>300815.11091999995</v>
      </c>
      <c r="L27" s="245">
        <f>(K27-J27)*100/J27</f>
        <v>1.343751182098357</v>
      </c>
      <c r="M27" s="48">
        <f>(K27-AC27)*100/AC27</f>
        <v>128.7619572461729</v>
      </c>
      <c r="N27" s="14">
        <v>48458</v>
      </c>
      <c r="O27" s="14">
        <v>51629</v>
      </c>
      <c r="P27" s="14">
        <v>58343</v>
      </c>
      <c r="Q27" s="27">
        <v>64954</v>
      </c>
      <c r="R27" s="27">
        <v>74670</v>
      </c>
      <c r="S27" s="27">
        <v>84775</v>
      </c>
      <c r="T27" s="27">
        <v>95071</v>
      </c>
      <c r="U27" s="27">
        <v>96051</v>
      </c>
      <c r="V27" s="27">
        <v>98587</v>
      </c>
      <c r="W27" s="27">
        <v>105235</v>
      </c>
      <c r="X27" s="14">
        <f>117927.044-1706.667</f>
        <v>116220.377</v>
      </c>
      <c r="Y27" s="27">
        <v>124475</v>
      </c>
      <c r="Z27" s="14">
        <v>128879</v>
      </c>
      <c r="AA27" s="14">
        <v>128879</v>
      </c>
      <c r="AB27" s="14">
        <v>121531</v>
      </c>
      <c r="AC27" s="14">
        <v>131497</v>
      </c>
      <c r="AD27" s="14">
        <v>145694</v>
      </c>
      <c r="AE27" s="14"/>
      <c r="AF27" s="3">
        <v>205907268</v>
      </c>
      <c r="AG27" s="92">
        <v>163328.54</v>
      </c>
      <c r="AH27" s="41">
        <v>0</v>
      </c>
      <c r="AI27" s="41">
        <v>0</v>
      </c>
      <c r="AJ27" s="3">
        <f>AF27-AG27-AH27+AI27</f>
        <v>205743939.46</v>
      </c>
      <c r="AK27" s="3">
        <f>AJ27/1000</f>
        <v>205743.93946</v>
      </c>
      <c r="AM27" s="3">
        <v>218242390</v>
      </c>
      <c r="AN27" s="92">
        <v>545040.97</v>
      </c>
      <c r="AO27" s="41">
        <v>0</v>
      </c>
      <c r="AP27" s="41">
        <v>0</v>
      </c>
      <c r="AQ27" s="3">
        <f>AM27-AN27-AO27+AP27</f>
        <v>217697349.03</v>
      </c>
      <c r="AR27" s="3">
        <f>AQ27/1000</f>
        <v>217697.34903</v>
      </c>
      <c r="AT27" s="241">
        <v>232519301.18</v>
      </c>
      <c r="AU27" s="92">
        <v>295969.25</v>
      </c>
      <c r="AV27" s="41">
        <v>0</v>
      </c>
      <c r="AW27" s="41">
        <v>0</v>
      </c>
      <c r="AX27" s="3">
        <f>AT27-AU27-AV27+AW27</f>
        <v>232223331.93</v>
      </c>
      <c r="AY27" s="3">
        <f>AX27/1000</f>
        <v>232223.33193000001</v>
      </c>
      <c r="BA27" s="3">
        <v>246770171.62</v>
      </c>
      <c r="BB27" s="3">
        <v>398781.03</v>
      </c>
      <c r="BC27" s="3">
        <v>0</v>
      </c>
      <c r="BD27" s="3">
        <v>0</v>
      </c>
      <c r="BE27" s="3">
        <f>BA27-BB27-BC27+BD27</f>
        <v>246371390.59</v>
      </c>
      <c r="BF27" s="3">
        <f>BE27/1000</f>
        <v>246371.39059</v>
      </c>
      <c r="BH27" s="3">
        <v>277987022.22</v>
      </c>
      <c r="BI27" s="3">
        <v>464603</v>
      </c>
      <c r="BJ27" s="3">
        <v>0</v>
      </c>
      <c r="BK27" s="3">
        <v>0</v>
      </c>
      <c r="BL27" s="3">
        <f>BH27-BI27-BJ27+BK27</f>
        <v>277522419.22</v>
      </c>
      <c r="BM27" s="3">
        <f>BL27/1000</f>
        <v>277522.41922000004</v>
      </c>
      <c r="BO27" s="3">
        <v>297295709.81</v>
      </c>
      <c r="BP27" s="3">
        <v>469208.51</v>
      </c>
      <c r="BQ27" s="3">
        <v>0</v>
      </c>
      <c r="BR27" s="3">
        <v>0</v>
      </c>
      <c r="BS27" s="3">
        <f>BO27-BP27-BQ27+BR27</f>
        <v>296826501.3</v>
      </c>
      <c r="BT27" s="3">
        <f>BS27/1000</f>
        <v>296826.5013</v>
      </c>
      <c r="BV27" s="128">
        <v>301182214.41999996</v>
      </c>
      <c r="BW27" s="3">
        <v>367103.5</v>
      </c>
      <c r="BX27" s="3">
        <v>0</v>
      </c>
      <c r="BY27" s="128">
        <v>0</v>
      </c>
      <c r="BZ27" s="3">
        <f>BV27-BW27-BX27+BY27</f>
        <v>300815110.91999996</v>
      </c>
      <c r="CA27" s="3">
        <f>BZ27/1000</f>
        <v>300815.11091999995</v>
      </c>
    </row>
    <row r="28" spans="1:79" ht="12.75">
      <c r="A28" s="1" t="s">
        <v>20</v>
      </c>
      <c r="B28" s="14">
        <v>11011</v>
      </c>
      <c r="C28" s="14">
        <v>11889</v>
      </c>
      <c r="D28" s="14">
        <v>11759</v>
      </c>
      <c r="E28" s="14">
        <v>10719</v>
      </c>
      <c r="F28" s="14">
        <v>10855</v>
      </c>
      <c r="G28" s="14">
        <v>11178.05117</v>
      </c>
      <c r="H28" s="14">
        <v>11726.429449999998</v>
      </c>
      <c r="I28" s="14">
        <v>11256.563829999997</v>
      </c>
      <c r="J28" s="14">
        <v>12563.12437</v>
      </c>
      <c r="K28" s="14">
        <v>12277.853849999998</v>
      </c>
      <c r="L28" s="245">
        <f>(K28-J28)*100/J28</f>
        <v>-2.270697253313921</v>
      </c>
      <c r="M28" s="48">
        <f>(K28-AC28)*100/AC28</f>
        <v>28.982601638827585</v>
      </c>
      <c r="N28" s="14">
        <v>4120</v>
      </c>
      <c r="O28" s="14">
        <v>4188</v>
      </c>
      <c r="P28" s="27">
        <v>4499</v>
      </c>
      <c r="Q28" s="27">
        <v>4938</v>
      </c>
      <c r="R28" s="27">
        <v>5754</v>
      </c>
      <c r="S28" s="27">
        <v>6502</v>
      </c>
      <c r="T28" s="27">
        <v>7264</v>
      </c>
      <c r="U28" s="27">
        <v>7214</v>
      </c>
      <c r="V28" s="27">
        <v>7360</v>
      </c>
      <c r="W28" s="27">
        <v>8193</v>
      </c>
      <c r="X28" s="208">
        <f>9079.919-170.37</f>
        <v>8909.548999999999</v>
      </c>
      <c r="Y28" s="27">
        <v>9233</v>
      </c>
      <c r="Z28" s="14">
        <v>9652</v>
      </c>
      <c r="AA28" s="14">
        <v>9652</v>
      </c>
      <c r="AB28" s="3">
        <v>9923</v>
      </c>
      <c r="AC28" s="14">
        <v>9519</v>
      </c>
      <c r="AD28" s="14">
        <v>9892</v>
      </c>
      <c r="AE28" s="14"/>
      <c r="AF28" s="3">
        <v>11149403</v>
      </c>
      <c r="AG28" s="92">
        <v>290219.18</v>
      </c>
      <c r="AH28" s="41">
        <v>141718.23</v>
      </c>
      <c r="AI28" s="41">
        <v>1969.11</v>
      </c>
      <c r="AJ28" s="3">
        <f>AF28-AG28-AH28+AI28</f>
        <v>10719434.7</v>
      </c>
      <c r="AK28" s="3">
        <f>AJ28/1000</f>
        <v>10719.4347</v>
      </c>
      <c r="AM28" s="3">
        <v>11233051</v>
      </c>
      <c r="AN28" s="92">
        <v>255045.23</v>
      </c>
      <c r="AO28" s="41">
        <v>125034.32</v>
      </c>
      <c r="AP28" s="41">
        <v>1981.9</v>
      </c>
      <c r="AQ28" s="3">
        <f>AM28-AN28-AO28+AP28</f>
        <v>10854953.35</v>
      </c>
      <c r="AR28" s="3">
        <f>AQ28/1000</f>
        <v>10854.95335</v>
      </c>
      <c r="AT28" s="241">
        <v>11632005.84</v>
      </c>
      <c r="AU28" s="92">
        <v>288478.03</v>
      </c>
      <c r="AV28" s="41">
        <v>165476.64</v>
      </c>
      <c r="AW28" s="41">
        <v>0</v>
      </c>
      <c r="AX28" s="3">
        <f>AT28-AU28-AV28+AW28</f>
        <v>11178051.17</v>
      </c>
      <c r="AY28" s="3">
        <f>AX28/1000</f>
        <v>11178.05117</v>
      </c>
      <c r="BA28" s="3">
        <v>12131195.269999998</v>
      </c>
      <c r="BB28" s="3">
        <v>210226.31</v>
      </c>
      <c r="BC28" s="3">
        <v>194539.51</v>
      </c>
      <c r="BD28" s="3">
        <v>0</v>
      </c>
      <c r="BE28" s="3">
        <f>BA28-BB28-BC28+BD28</f>
        <v>11726429.449999997</v>
      </c>
      <c r="BF28" s="3">
        <f>BE28/1000</f>
        <v>11726.429449999998</v>
      </c>
      <c r="BH28" s="3">
        <v>11681070.729999999</v>
      </c>
      <c r="BI28" s="3">
        <v>77634.47</v>
      </c>
      <c r="BJ28" s="3">
        <v>346872.43</v>
      </c>
      <c r="BK28" s="3">
        <v>0</v>
      </c>
      <c r="BL28" s="3">
        <f>BH28-BI28-BJ28+BK28</f>
        <v>11256563.829999998</v>
      </c>
      <c r="BM28" s="3">
        <f>BL28/1000</f>
        <v>11256.563829999997</v>
      </c>
      <c r="BO28" s="3">
        <v>12968202.01</v>
      </c>
      <c r="BP28" s="3">
        <v>381475.97000000003</v>
      </c>
      <c r="BQ28" s="3">
        <v>23601.67</v>
      </c>
      <c r="BR28" s="3">
        <v>0</v>
      </c>
      <c r="BS28" s="3">
        <f>BO28-BP28-BQ28+BR28</f>
        <v>12563124.37</v>
      </c>
      <c r="BT28" s="3">
        <f>BS28/1000</f>
        <v>12563.12437</v>
      </c>
      <c r="BV28" s="128">
        <v>13527778.119999997</v>
      </c>
      <c r="BW28" s="3">
        <v>1249924.27</v>
      </c>
      <c r="BX28" s="3">
        <v>0</v>
      </c>
      <c r="BY28" s="128">
        <v>0</v>
      </c>
      <c r="BZ28" s="3">
        <f>BV28-BW28-BX28+BY28</f>
        <v>12277853.849999998</v>
      </c>
      <c r="CA28" s="3">
        <f>BZ28/1000</f>
        <v>12277.853849999998</v>
      </c>
    </row>
    <row r="29" spans="2:77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48"/>
      <c r="M29" s="48"/>
      <c r="N29" s="14"/>
      <c r="O29" s="14"/>
      <c r="Q29" s="27"/>
      <c r="R29" s="27"/>
      <c r="S29" s="27"/>
      <c r="T29" s="27"/>
      <c r="U29" s="27"/>
      <c r="V29" s="27"/>
      <c r="W29" s="27"/>
      <c r="X29" s="208"/>
      <c r="Y29" s="27"/>
      <c r="Z29" s="14"/>
      <c r="AA29" s="14"/>
      <c r="AB29" s="3"/>
      <c r="AC29" s="14"/>
      <c r="AD29" s="14"/>
      <c r="AE29" s="14"/>
      <c r="AG29" s="92"/>
      <c r="AH29" s="41"/>
      <c r="AI29" s="41"/>
      <c r="AN29" s="92"/>
      <c r="AO29" s="41"/>
      <c r="AP29" s="41"/>
      <c r="AT29" s="241"/>
      <c r="AU29" s="92"/>
      <c r="AV29" s="41"/>
      <c r="AW29" s="41"/>
      <c r="BV29" s="128"/>
      <c r="BY29" s="128"/>
    </row>
    <row r="30" spans="1:79" ht="12.75">
      <c r="A30" s="1" t="s">
        <v>21</v>
      </c>
      <c r="B30" s="14">
        <v>578108</v>
      </c>
      <c r="C30" s="14">
        <v>634767</v>
      </c>
      <c r="D30" s="14">
        <v>670790</v>
      </c>
      <c r="E30" s="14">
        <v>689923</v>
      </c>
      <c r="F30" s="14">
        <v>729785</v>
      </c>
      <c r="G30" s="14">
        <v>768555.7654399998</v>
      </c>
      <c r="H30" s="14">
        <v>812262.62258</v>
      </c>
      <c r="I30" s="14">
        <v>846094.9630000002</v>
      </c>
      <c r="J30" s="14">
        <v>877101.68986</v>
      </c>
      <c r="K30" s="14">
        <v>887835.3452799999</v>
      </c>
      <c r="L30" s="245">
        <f>(K30-J30)*100/J30</f>
        <v>1.223764079363833</v>
      </c>
      <c r="M30" s="48">
        <f>(K30-AC30)*100/AC30</f>
        <v>85.09256246051979</v>
      </c>
      <c r="N30" s="14">
        <v>219807</v>
      </c>
      <c r="O30" s="14">
        <v>233258</v>
      </c>
      <c r="P30" s="27">
        <v>254035</v>
      </c>
      <c r="Q30" s="27">
        <v>282067</v>
      </c>
      <c r="R30" s="27">
        <v>314894</v>
      </c>
      <c r="S30" s="27">
        <v>354148</v>
      </c>
      <c r="T30" s="27">
        <v>386336</v>
      </c>
      <c r="U30" s="27">
        <v>388791</v>
      </c>
      <c r="V30" s="27">
        <v>400425</v>
      </c>
      <c r="W30" s="27">
        <v>414618</v>
      </c>
      <c r="X30" s="208">
        <f>440555.096-3146.236</f>
        <v>437408.86000000004</v>
      </c>
      <c r="Y30" s="27">
        <v>458841</v>
      </c>
      <c r="Z30" s="14">
        <v>476703</v>
      </c>
      <c r="AA30" s="14">
        <v>476703</v>
      </c>
      <c r="AB30" s="3">
        <v>447377</v>
      </c>
      <c r="AC30" s="14">
        <v>479671</v>
      </c>
      <c r="AD30" s="14">
        <v>517344</v>
      </c>
      <c r="AE30" s="14"/>
      <c r="AF30" s="3">
        <v>696341947</v>
      </c>
      <c r="AG30" s="92">
        <v>2746310.46</v>
      </c>
      <c r="AH30" s="41">
        <v>3682486.75</v>
      </c>
      <c r="AI30" s="41">
        <v>9569.07</v>
      </c>
      <c r="AJ30" s="3">
        <f>AF30-AG30-AH30+AI30</f>
        <v>689922718.86</v>
      </c>
      <c r="AK30" s="3">
        <f aca="true" t="shared" si="5" ref="AK30:AK39">AJ30/1000</f>
        <v>689922.71886</v>
      </c>
      <c r="AM30" s="3">
        <v>735765269</v>
      </c>
      <c r="AN30" s="92">
        <v>3755068.22</v>
      </c>
      <c r="AO30" s="41">
        <v>2226644.82</v>
      </c>
      <c r="AP30" s="41">
        <v>1358</v>
      </c>
      <c r="AQ30" s="3">
        <f>AM30-AN30-AO30+AP30</f>
        <v>729784913.9599999</v>
      </c>
      <c r="AR30" s="3">
        <f aca="true" t="shared" si="6" ref="AR30:AR39">AQ30/1000</f>
        <v>729784.9139599999</v>
      </c>
      <c r="AT30" s="241">
        <v>773637207.5699997</v>
      </c>
      <c r="AU30" s="92">
        <v>3765423.06</v>
      </c>
      <c r="AV30" s="41">
        <v>1316019.07</v>
      </c>
      <c r="AW30" s="41">
        <v>0</v>
      </c>
      <c r="AX30" s="3">
        <f>AT30-AU30-AV30+AW30</f>
        <v>768555765.4399997</v>
      </c>
      <c r="AY30" s="3">
        <f aca="true" t="shared" si="7" ref="AY30:AY39">AX30/1000</f>
        <v>768555.7654399998</v>
      </c>
      <c r="BA30" s="3">
        <v>816133160.27</v>
      </c>
      <c r="BB30" s="3">
        <v>3870537.69</v>
      </c>
      <c r="BC30" s="3">
        <v>0</v>
      </c>
      <c r="BD30" s="3">
        <v>0</v>
      </c>
      <c r="BE30" s="3">
        <f>BA30-BB30-BC30+BD30</f>
        <v>812262622.5799999</v>
      </c>
      <c r="BF30" s="3">
        <f aca="true" t="shared" si="8" ref="BF30:BF39">BE30/1000</f>
        <v>812262.62258</v>
      </c>
      <c r="BH30" s="3">
        <v>849866942.4000002</v>
      </c>
      <c r="BI30" s="3">
        <v>3771979.4</v>
      </c>
      <c r="BJ30" s="3">
        <v>0</v>
      </c>
      <c r="BK30" s="3">
        <v>0</v>
      </c>
      <c r="BL30" s="3">
        <f>BH30-BI30-BJ30+BK30</f>
        <v>846094963.0000002</v>
      </c>
      <c r="BM30" s="3">
        <f aca="true" t="shared" si="9" ref="BM30:BM39">BL30/1000</f>
        <v>846094.9630000002</v>
      </c>
      <c r="BO30" s="3">
        <v>880301306.23</v>
      </c>
      <c r="BP30" s="3">
        <v>3199616.3699999996</v>
      </c>
      <c r="BQ30" s="3">
        <v>0</v>
      </c>
      <c r="BR30" s="3">
        <v>0</v>
      </c>
      <c r="BS30" s="3">
        <f>BO30-BP30-BQ30+BR30</f>
        <v>877101689.86</v>
      </c>
      <c r="BT30" s="3">
        <f>BS30/1000</f>
        <v>877101.68986</v>
      </c>
      <c r="BV30" s="128">
        <v>890031987.9199998</v>
      </c>
      <c r="BW30" s="3">
        <v>2196642.64</v>
      </c>
      <c r="BX30" s="3">
        <v>0</v>
      </c>
      <c r="BY30" s="128">
        <v>0</v>
      </c>
      <c r="BZ30" s="3">
        <f>BV30-BW30-BX30+BY30</f>
        <v>887835345.2799999</v>
      </c>
      <c r="CA30" s="3">
        <f>BZ30/1000</f>
        <v>887835.3452799999</v>
      </c>
    </row>
    <row r="31" spans="1:79" ht="12.75">
      <c r="A31" s="1" t="s">
        <v>22</v>
      </c>
      <c r="B31" s="14">
        <v>435595</v>
      </c>
      <c r="C31" s="14">
        <v>467174</v>
      </c>
      <c r="D31" s="14">
        <v>493026</v>
      </c>
      <c r="E31" s="14">
        <v>474491</v>
      </c>
      <c r="F31" s="14">
        <v>488866</v>
      </c>
      <c r="G31" s="14">
        <v>527262.15794</v>
      </c>
      <c r="H31" s="14">
        <v>582296.5511700002</v>
      </c>
      <c r="I31" s="14">
        <v>676033.3240299999</v>
      </c>
      <c r="J31" s="14">
        <v>667014.0476299999</v>
      </c>
      <c r="K31" s="14">
        <v>655060.29552</v>
      </c>
      <c r="L31" s="245">
        <f>(K31-J31)*100/J31</f>
        <v>-1.792128989257924</v>
      </c>
      <c r="M31" s="48">
        <f>(K31-AC31)*100/AC31</f>
        <v>74.96268576923079</v>
      </c>
      <c r="N31" s="14">
        <v>175700</v>
      </c>
      <c r="O31" s="14">
        <v>182882</v>
      </c>
      <c r="P31" s="27">
        <v>202841</v>
      </c>
      <c r="Q31" s="27">
        <v>225575</v>
      </c>
      <c r="R31" s="27">
        <v>245693</v>
      </c>
      <c r="S31" s="27">
        <v>264543</v>
      </c>
      <c r="T31" s="27">
        <v>286109</v>
      </c>
      <c r="U31" s="27">
        <v>279605</v>
      </c>
      <c r="V31" s="27">
        <v>296456</v>
      </c>
      <c r="W31" s="27">
        <v>309860</v>
      </c>
      <c r="X31" s="208">
        <f>337049.241-2637.63-237.5</f>
        <v>334174.111</v>
      </c>
      <c r="Y31" s="27">
        <v>347922</v>
      </c>
      <c r="Z31" s="14">
        <v>363060</v>
      </c>
      <c r="AA31" s="14">
        <v>363060</v>
      </c>
      <c r="AB31" s="3">
        <v>346677</v>
      </c>
      <c r="AC31" s="14">
        <v>374400</v>
      </c>
      <c r="AD31" s="14">
        <v>393581</v>
      </c>
      <c r="AE31" s="14"/>
      <c r="AF31" s="3">
        <v>480985892</v>
      </c>
      <c r="AG31" s="83">
        <v>5467311</v>
      </c>
      <c r="AH31" s="41">
        <v>1027349.63</v>
      </c>
      <c r="AI31" s="83">
        <v>0</v>
      </c>
      <c r="AJ31" s="3">
        <f>AF31-AG31-AH31+AI31</f>
        <v>474491231.37</v>
      </c>
      <c r="AK31" s="3">
        <f t="shared" si="5"/>
        <v>474491.23137</v>
      </c>
      <c r="AM31" s="3">
        <v>509473463</v>
      </c>
      <c r="AN31" s="83">
        <v>19619347</v>
      </c>
      <c r="AO31" s="41">
        <v>1001095.71</v>
      </c>
      <c r="AP31" s="83">
        <v>12673.79</v>
      </c>
      <c r="AQ31" s="3">
        <f>AM31-AN31-AO31+AP31</f>
        <v>488865694.08000004</v>
      </c>
      <c r="AR31" s="3">
        <f t="shared" si="6"/>
        <v>488865.69408000004</v>
      </c>
      <c r="AT31" s="241">
        <v>534355521.4699999</v>
      </c>
      <c r="AU31" s="83">
        <v>5890633.080000002</v>
      </c>
      <c r="AV31" s="41">
        <v>1206111.9</v>
      </c>
      <c r="AW31" s="83">
        <v>3381.45</v>
      </c>
      <c r="AX31" s="3">
        <f>AT31-AU31-AV31+AW31</f>
        <v>527262157.93999994</v>
      </c>
      <c r="AY31" s="3">
        <f t="shared" si="7"/>
        <v>527262.15794</v>
      </c>
      <c r="BA31" s="3">
        <v>595629543.9600002</v>
      </c>
      <c r="BB31" s="3">
        <v>12770951.000000004</v>
      </c>
      <c r="BC31" s="3">
        <v>562041.79</v>
      </c>
      <c r="BD31" s="3">
        <v>0</v>
      </c>
      <c r="BE31" s="3">
        <f>BA31-BB31-BC31+BD31</f>
        <v>582296551.1700002</v>
      </c>
      <c r="BF31" s="3">
        <f t="shared" si="8"/>
        <v>582296.5511700002</v>
      </c>
      <c r="BH31" s="3">
        <v>690652527.5499998</v>
      </c>
      <c r="BI31" s="3">
        <v>14566550.939999998</v>
      </c>
      <c r="BJ31" s="3">
        <v>52652.58</v>
      </c>
      <c r="BK31" s="3">
        <v>0</v>
      </c>
      <c r="BL31" s="3">
        <f>BH31-BI31-BJ31+BK31</f>
        <v>676033324.0299999</v>
      </c>
      <c r="BM31" s="3">
        <f t="shared" si="9"/>
        <v>676033.3240299999</v>
      </c>
      <c r="BO31" s="3">
        <v>669908623.92</v>
      </c>
      <c r="BP31" s="3">
        <v>2894157.7</v>
      </c>
      <c r="BQ31" s="3">
        <v>418.59</v>
      </c>
      <c r="BR31" s="3">
        <v>0</v>
      </c>
      <c r="BS31" s="3">
        <f>BO31-BP31-BQ31+BR31</f>
        <v>667014047.6299999</v>
      </c>
      <c r="BT31" s="3">
        <f>BS31/1000</f>
        <v>667014.0476299999</v>
      </c>
      <c r="BV31" s="128">
        <v>658500207.8700001</v>
      </c>
      <c r="BW31" s="3">
        <v>3439912.3499999996</v>
      </c>
      <c r="BX31" s="3">
        <v>0</v>
      </c>
      <c r="BY31" s="164">
        <v>0</v>
      </c>
      <c r="BZ31" s="3">
        <f>BV31-BW31-BX31+BY31</f>
        <v>655060295.5200001</v>
      </c>
      <c r="CA31" s="3">
        <f>BZ31/1000</f>
        <v>655060.29552</v>
      </c>
    </row>
    <row r="32" spans="1:79" ht="12.75">
      <c r="A32" s="1" t="s">
        <v>23</v>
      </c>
      <c r="B32" s="14">
        <v>24153</v>
      </c>
      <c r="C32" s="14">
        <v>26826</v>
      </c>
      <c r="D32" s="14">
        <v>28022</v>
      </c>
      <c r="E32" s="14">
        <v>28153</v>
      </c>
      <c r="F32" s="14">
        <v>29084</v>
      </c>
      <c r="G32" s="14">
        <v>31076.00202</v>
      </c>
      <c r="H32" s="14">
        <v>32466.663129999997</v>
      </c>
      <c r="I32" s="14">
        <v>34934.04981999999</v>
      </c>
      <c r="J32" s="14">
        <v>36918.17111999999</v>
      </c>
      <c r="K32" s="14">
        <v>37719.90791</v>
      </c>
      <c r="L32" s="245">
        <f>(K32-J32)*100/J32</f>
        <v>2.1716590114770833</v>
      </c>
      <c r="M32" s="48">
        <f>(K32-AC32)*100/AC32</f>
        <v>86.02311934704346</v>
      </c>
      <c r="N32" s="14">
        <v>7444</v>
      </c>
      <c r="O32" s="14">
        <v>8328</v>
      </c>
      <c r="P32" s="27">
        <v>9829</v>
      </c>
      <c r="Q32" s="27">
        <v>10855</v>
      </c>
      <c r="R32" s="27">
        <v>11915</v>
      </c>
      <c r="S32" s="27">
        <v>13102</v>
      </c>
      <c r="T32" s="27">
        <v>14031</v>
      </c>
      <c r="U32" s="27">
        <v>14616</v>
      </c>
      <c r="V32" s="27">
        <v>15125</v>
      </c>
      <c r="W32" s="27">
        <v>16359</v>
      </c>
      <c r="X32" s="14">
        <f>17874.109-791.87</f>
        <v>17082.239</v>
      </c>
      <c r="Y32" s="27">
        <v>17703</v>
      </c>
      <c r="Z32" s="14">
        <v>18965</v>
      </c>
      <c r="AA32" s="14">
        <v>18965</v>
      </c>
      <c r="AB32" s="14">
        <v>18279</v>
      </c>
      <c r="AC32" s="14">
        <v>20277</v>
      </c>
      <c r="AD32" s="14">
        <v>21900</v>
      </c>
      <c r="AE32" s="14"/>
      <c r="AF32" s="3">
        <v>28801815</v>
      </c>
      <c r="AG32" s="92">
        <v>542873.65</v>
      </c>
      <c r="AH32" s="41">
        <v>106271.06</v>
      </c>
      <c r="AI32" s="41">
        <v>0</v>
      </c>
      <c r="AJ32" s="3">
        <f>AF32-AG32-AH32+AI32</f>
        <v>28152670.290000003</v>
      </c>
      <c r="AK32" s="3">
        <f t="shared" si="5"/>
        <v>28152.670290000002</v>
      </c>
      <c r="AM32" s="3">
        <v>29665066</v>
      </c>
      <c r="AN32" s="92">
        <v>431016.8</v>
      </c>
      <c r="AO32" s="41">
        <v>150346.82</v>
      </c>
      <c r="AP32" s="41">
        <v>0</v>
      </c>
      <c r="AQ32" s="3">
        <f>AM32-AN32-AO32+AP32</f>
        <v>29083702.38</v>
      </c>
      <c r="AR32" s="3">
        <f t="shared" si="6"/>
        <v>29083.70238</v>
      </c>
      <c r="AT32" s="241">
        <v>31635000.380000003</v>
      </c>
      <c r="AU32" s="92">
        <v>366265.1</v>
      </c>
      <c r="AV32" s="41">
        <v>193992.26</v>
      </c>
      <c r="AW32" s="41">
        <v>1259</v>
      </c>
      <c r="AX32" s="3">
        <f>AT32-AU32-AV32+AW32</f>
        <v>31076002.02</v>
      </c>
      <c r="AY32" s="3">
        <f t="shared" si="7"/>
        <v>31076.00202</v>
      </c>
      <c r="BA32" s="3">
        <v>32719037.71</v>
      </c>
      <c r="BB32" s="3">
        <v>140118.48</v>
      </c>
      <c r="BC32" s="3">
        <v>113509.1</v>
      </c>
      <c r="BD32" s="3">
        <v>1253</v>
      </c>
      <c r="BE32" s="3">
        <f>BA32-BB32-BC32+BD32</f>
        <v>32466663.13</v>
      </c>
      <c r="BF32" s="3">
        <f t="shared" si="8"/>
        <v>32466.663129999997</v>
      </c>
      <c r="BH32" s="3">
        <v>35383131.879999995</v>
      </c>
      <c r="BI32" s="3">
        <v>255226.85</v>
      </c>
      <c r="BJ32" s="3">
        <v>193855.21</v>
      </c>
      <c r="BK32" s="3">
        <v>0</v>
      </c>
      <c r="BL32" s="3">
        <f>BH32-BI32-BJ32+BK32</f>
        <v>34934049.81999999</v>
      </c>
      <c r="BM32" s="3">
        <f t="shared" si="9"/>
        <v>34934.04981999999</v>
      </c>
      <c r="BO32" s="3">
        <v>37554757.07999999</v>
      </c>
      <c r="BP32" s="3">
        <v>421537.95</v>
      </c>
      <c r="BQ32" s="3">
        <v>216006.01</v>
      </c>
      <c r="BR32" s="3">
        <v>958</v>
      </c>
      <c r="BS32" s="3">
        <f>BO32-BP32-BQ32+BR32</f>
        <v>36918171.11999999</v>
      </c>
      <c r="BT32" s="3">
        <f>BS32/1000</f>
        <v>36918.17111999999</v>
      </c>
      <c r="BV32" s="128">
        <v>38190006.39</v>
      </c>
      <c r="BW32" s="3">
        <v>277229.75</v>
      </c>
      <c r="BX32" s="3">
        <v>192868.72999999998</v>
      </c>
      <c r="BY32" s="128">
        <v>0</v>
      </c>
      <c r="BZ32" s="3">
        <f>BV32-BW32-BX32+BY32</f>
        <v>37719907.910000004</v>
      </c>
      <c r="CA32" s="3">
        <f>BZ32/1000</f>
        <v>37719.90791</v>
      </c>
    </row>
    <row r="33" spans="1:79" ht="12.75">
      <c r="A33" s="1" t="s">
        <v>24</v>
      </c>
      <c r="B33" s="14">
        <v>46421</v>
      </c>
      <c r="C33" s="14">
        <v>51211</v>
      </c>
      <c r="D33" s="14">
        <v>52692</v>
      </c>
      <c r="E33" s="14">
        <v>56058</v>
      </c>
      <c r="F33" s="14">
        <v>58909</v>
      </c>
      <c r="G33" s="14">
        <v>62555.89812000001</v>
      </c>
      <c r="H33" s="14">
        <v>66335.42658</v>
      </c>
      <c r="I33" s="14">
        <v>71826.7862</v>
      </c>
      <c r="J33" s="14">
        <v>75771.5894</v>
      </c>
      <c r="K33" s="14">
        <v>81079.44393</v>
      </c>
      <c r="L33" s="245">
        <f>(K33-J33)*100/J33</f>
        <v>7.005072180787589</v>
      </c>
      <c r="M33" s="48">
        <f>(K33-AC33)*100/AC33</f>
        <v>98.86547774153195</v>
      </c>
      <c r="N33" s="14">
        <v>17725</v>
      </c>
      <c r="O33" s="14">
        <v>18099</v>
      </c>
      <c r="P33" s="27">
        <v>20183</v>
      </c>
      <c r="Q33" s="27">
        <v>22427</v>
      </c>
      <c r="R33" s="27">
        <v>24264</v>
      </c>
      <c r="S33" s="27">
        <v>27043</v>
      </c>
      <c r="T33" s="27">
        <v>30165</v>
      </c>
      <c r="U33" s="27">
        <v>33059</v>
      </c>
      <c r="V33" s="27">
        <v>34066</v>
      </c>
      <c r="W33" s="27">
        <v>34275</v>
      </c>
      <c r="X33" s="14">
        <f>38193.171-672.643-14.583</f>
        <v>37505.94500000001</v>
      </c>
      <c r="Y33" s="27">
        <v>37412</v>
      </c>
      <c r="Z33" s="14">
        <v>40558</v>
      </c>
      <c r="AA33" s="14">
        <v>40558</v>
      </c>
      <c r="AB33" s="14">
        <v>38429</v>
      </c>
      <c r="AC33" s="14">
        <v>40771</v>
      </c>
      <c r="AD33" s="14">
        <v>42558</v>
      </c>
      <c r="AE33" s="14"/>
      <c r="AF33" s="3">
        <v>56312706</v>
      </c>
      <c r="AG33" s="92">
        <v>38394.51</v>
      </c>
      <c r="AH33" s="41">
        <v>216521.56</v>
      </c>
      <c r="AI33" s="41">
        <v>0</v>
      </c>
      <c r="AJ33" s="3">
        <f>AF33-AG33-AH33+AI33</f>
        <v>56057789.93</v>
      </c>
      <c r="AK33" s="3">
        <f t="shared" si="5"/>
        <v>56057.78993</v>
      </c>
      <c r="AM33" s="3">
        <v>59183905</v>
      </c>
      <c r="AN33" s="92">
        <v>15094</v>
      </c>
      <c r="AO33" s="41">
        <v>259873.4</v>
      </c>
      <c r="AP33" s="41">
        <v>0</v>
      </c>
      <c r="AQ33" s="3">
        <f>AM33-AN33-AO33+AP33</f>
        <v>58908937.6</v>
      </c>
      <c r="AR33" s="3">
        <f t="shared" si="6"/>
        <v>58908.937600000005</v>
      </c>
      <c r="AT33" s="241">
        <v>62895940.17000001</v>
      </c>
      <c r="AU33" s="92">
        <v>45710.08</v>
      </c>
      <c r="AV33" s="41">
        <v>294331.97</v>
      </c>
      <c r="AW33" s="41">
        <v>0</v>
      </c>
      <c r="AX33" s="3">
        <f>AT33-AU33-AV33+AW33</f>
        <v>62555898.12000001</v>
      </c>
      <c r="AY33" s="3">
        <f t="shared" si="7"/>
        <v>62555.89812000001</v>
      </c>
      <c r="BA33" s="3">
        <v>66742469.59</v>
      </c>
      <c r="BB33" s="3">
        <v>29270</v>
      </c>
      <c r="BC33" s="3">
        <v>377773.01</v>
      </c>
      <c r="BD33" s="3">
        <v>0</v>
      </c>
      <c r="BE33" s="3">
        <f>BA33-BB33-BC33+BD33</f>
        <v>66335426.580000006</v>
      </c>
      <c r="BF33" s="3">
        <f t="shared" si="8"/>
        <v>66335.42658</v>
      </c>
      <c r="BH33" s="3">
        <v>72345674.12</v>
      </c>
      <c r="BI33" s="3">
        <v>112644.05</v>
      </c>
      <c r="BJ33" s="3">
        <v>406243.87</v>
      </c>
      <c r="BK33" s="3">
        <v>0</v>
      </c>
      <c r="BL33" s="3">
        <f>BH33-BI33-BJ33+BK33</f>
        <v>71826786.2</v>
      </c>
      <c r="BM33" s="3">
        <f t="shared" si="9"/>
        <v>71826.7862</v>
      </c>
      <c r="BO33" s="3">
        <v>76246582.32</v>
      </c>
      <c r="BP33" s="3">
        <v>61660.630000000005</v>
      </c>
      <c r="BQ33" s="3">
        <v>413332.29000000004</v>
      </c>
      <c r="BR33" s="3">
        <v>0</v>
      </c>
      <c r="BS33" s="3">
        <f>BO33-BP33-BQ33+BR33</f>
        <v>75771589.39999999</v>
      </c>
      <c r="BT33" s="3">
        <f>BS33/1000</f>
        <v>75771.5894</v>
      </c>
      <c r="BV33" s="128">
        <v>81502618.75</v>
      </c>
      <c r="BW33" s="3">
        <v>45542.34</v>
      </c>
      <c r="BX33" s="3">
        <v>377632.48</v>
      </c>
      <c r="BY33" s="266">
        <v>0</v>
      </c>
      <c r="BZ33" s="3">
        <f>BV33-BW33-BX33+BY33</f>
        <v>81079443.92999999</v>
      </c>
      <c r="CA33" s="3">
        <f>BZ33/1000</f>
        <v>81079.44393</v>
      </c>
    </row>
    <row r="34" spans="1:79" ht="12.75">
      <c r="A34" s="1" t="s">
        <v>25</v>
      </c>
      <c r="B34" s="14">
        <v>11565</v>
      </c>
      <c r="C34" s="14">
        <v>12115</v>
      </c>
      <c r="D34" s="14">
        <v>12377</v>
      </c>
      <c r="E34" s="14">
        <v>12507</v>
      </c>
      <c r="F34" s="14">
        <v>13300</v>
      </c>
      <c r="G34" s="14">
        <v>14296.683760000002</v>
      </c>
      <c r="H34" s="14">
        <v>15736.473130000002</v>
      </c>
      <c r="I34" s="14">
        <v>17204.06667</v>
      </c>
      <c r="J34" s="14">
        <v>16978.61062</v>
      </c>
      <c r="K34" s="14">
        <v>17103.14655</v>
      </c>
      <c r="L34" s="245">
        <f>(K34-J34)*100/J34</f>
        <v>0.7334871668080096</v>
      </c>
      <c r="M34" s="48">
        <f>(K34-AC34)*100/AC34</f>
        <v>70.94599250374814</v>
      </c>
      <c r="N34" s="14">
        <v>4897</v>
      </c>
      <c r="O34" s="14">
        <v>4925</v>
      </c>
      <c r="P34" s="27">
        <v>5526</v>
      </c>
      <c r="Q34" s="27">
        <v>5958</v>
      </c>
      <c r="R34" s="27">
        <v>6626</v>
      </c>
      <c r="S34" s="27">
        <v>7432</v>
      </c>
      <c r="T34" s="27">
        <v>8133</v>
      </c>
      <c r="U34" s="27">
        <v>7991</v>
      </c>
      <c r="V34" s="27">
        <v>8524</v>
      </c>
      <c r="W34" s="27">
        <v>9348</v>
      </c>
      <c r="X34" s="14">
        <f>10182.902-232.867</f>
        <v>9950.035</v>
      </c>
      <c r="Y34" s="27">
        <v>10021</v>
      </c>
      <c r="Z34" s="14">
        <v>10187</v>
      </c>
      <c r="AA34" s="14">
        <v>10187</v>
      </c>
      <c r="AB34" s="14">
        <v>9650</v>
      </c>
      <c r="AC34" s="14">
        <v>10005</v>
      </c>
      <c r="AD34" s="14">
        <v>10857</v>
      </c>
      <c r="AE34" s="14"/>
      <c r="AF34" s="3">
        <v>13008599</v>
      </c>
      <c r="AG34" s="92">
        <v>366958.91</v>
      </c>
      <c r="AH34" s="41">
        <v>138269.17</v>
      </c>
      <c r="AI34" s="41">
        <v>3251.94</v>
      </c>
      <c r="AJ34" s="3">
        <f>AF34-AG34-AH34+AI34</f>
        <v>12506622.86</v>
      </c>
      <c r="AK34" s="3">
        <f t="shared" si="5"/>
        <v>12506.62286</v>
      </c>
      <c r="AM34" s="3">
        <v>13713862</v>
      </c>
      <c r="AN34" s="92">
        <v>345219.75</v>
      </c>
      <c r="AO34" s="41">
        <v>68593</v>
      </c>
      <c r="AP34" s="41">
        <v>0</v>
      </c>
      <c r="AQ34" s="3">
        <f>AM34-AN34-AO34+AP34</f>
        <v>13300049.25</v>
      </c>
      <c r="AR34" s="3">
        <f t="shared" si="6"/>
        <v>13300.04925</v>
      </c>
      <c r="AT34" s="241">
        <v>15177755.05</v>
      </c>
      <c r="AU34" s="92">
        <v>727126.79</v>
      </c>
      <c r="AV34" s="41">
        <v>160520.45</v>
      </c>
      <c r="AW34" s="41">
        <v>6575.95</v>
      </c>
      <c r="AX34" s="3">
        <f>AT34-AU34-AV34+AW34</f>
        <v>14296683.760000002</v>
      </c>
      <c r="AY34" s="3">
        <f t="shared" si="7"/>
        <v>14296.683760000002</v>
      </c>
      <c r="BA34" s="3">
        <v>16813488.810000002</v>
      </c>
      <c r="BB34" s="3">
        <v>912395.77</v>
      </c>
      <c r="BC34" s="3">
        <v>164619.91</v>
      </c>
      <c r="BD34" s="3">
        <v>0</v>
      </c>
      <c r="BE34" s="3">
        <f>BA34-BB34-BC34+BD34</f>
        <v>15736473.130000003</v>
      </c>
      <c r="BF34" s="3">
        <f t="shared" si="8"/>
        <v>15736.473130000002</v>
      </c>
      <c r="BH34" s="3">
        <v>17961439.32</v>
      </c>
      <c r="BI34" s="3">
        <v>517771.74</v>
      </c>
      <c r="BJ34" s="3">
        <v>245402.76</v>
      </c>
      <c r="BK34" s="3">
        <v>5801.85</v>
      </c>
      <c r="BL34" s="3">
        <f>BH34-BI34-BJ34+BK34</f>
        <v>17204066.67</v>
      </c>
      <c r="BM34" s="3">
        <f t="shared" si="9"/>
        <v>17204.06667</v>
      </c>
      <c r="BO34" s="3">
        <v>18178246.51</v>
      </c>
      <c r="BP34" s="3">
        <v>956393.3200000001</v>
      </c>
      <c r="BQ34" s="3">
        <v>259476.15000000002</v>
      </c>
      <c r="BR34" s="3">
        <v>16233.58</v>
      </c>
      <c r="BS34" s="3">
        <f>BO34-BP34-BQ34+BR34</f>
        <v>16978610.62</v>
      </c>
      <c r="BT34" s="3">
        <f>BS34/1000</f>
        <v>16978.61062</v>
      </c>
      <c r="BV34" s="128">
        <v>17886152.85</v>
      </c>
      <c r="BW34" s="3">
        <v>517480.92</v>
      </c>
      <c r="BX34" s="3">
        <v>265525.38</v>
      </c>
      <c r="BY34" s="128">
        <v>0</v>
      </c>
      <c r="BZ34" s="3">
        <f>BV34-BW34-BX34+BY34</f>
        <v>17103146.55</v>
      </c>
      <c r="CA34" s="3">
        <f>BZ34/1000</f>
        <v>17103.14655</v>
      </c>
    </row>
    <row r="35" spans="2:77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48"/>
      <c r="M35" s="48"/>
      <c r="O35" s="14"/>
      <c r="P35" s="27"/>
      <c r="Q35" s="27"/>
      <c r="R35" s="27"/>
      <c r="S35" s="27"/>
      <c r="T35" s="27"/>
      <c r="U35" s="27"/>
      <c r="V35" s="27"/>
      <c r="W35" s="27"/>
      <c r="X35" s="14"/>
      <c r="Y35" s="27"/>
      <c r="Z35" s="14"/>
      <c r="AA35" s="14"/>
      <c r="AB35" s="14"/>
      <c r="AC35" s="14"/>
      <c r="AD35" s="14"/>
      <c r="AE35" s="14"/>
      <c r="AG35" s="92"/>
      <c r="AH35" s="41"/>
      <c r="AI35" s="41"/>
      <c r="AN35" s="92"/>
      <c r="AO35" s="41"/>
      <c r="AP35" s="41"/>
      <c r="AT35" s="241"/>
      <c r="AU35" s="92"/>
      <c r="AV35" s="41"/>
      <c r="AW35" s="41"/>
      <c r="BV35" s="128"/>
      <c r="BY35" s="128"/>
    </row>
    <row r="36" spans="1:79" ht="12.75">
      <c r="A36" s="1" t="s">
        <v>26</v>
      </c>
      <c r="B36" s="14">
        <v>15813</v>
      </c>
      <c r="C36" s="14">
        <v>17348</v>
      </c>
      <c r="D36" s="14">
        <v>17835</v>
      </c>
      <c r="E36" s="14">
        <v>18502</v>
      </c>
      <c r="F36" s="14">
        <v>18035</v>
      </c>
      <c r="G36" s="14">
        <v>19005.107920000002</v>
      </c>
      <c r="H36" s="14">
        <v>19500.334240000004</v>
      </c>
      <c r="I36" s="14">
        <v>19771.622590000003</v>
      </c>
      <c r="J36" s="14">
        <v>20777.924150000003</v>
      </c>
      <c r="K36" s="14">
        <v>21861.17307</v>
      </c>
      <c r="L36" s="245">
        <f>(K36-J36)*100/J36</f>
        <v>5.213460748917009</v>
      </c>
      <c r="M36" s="48">
        <f>(K36-AC36)*100/AC36</f>
        <v>61.73095413183399</v>
      </c>
      <c r="N36" s="14">
        <v>6648</v>
      </c>
      <c r="O36" s="14">
        <v>6856</v>
      </c>
      <c r="P36" s="27">
        <v>7275</v>
      </c>
      <c r="Q36" s="27">
        <v>8686</v>
      </c>
      <c r="R36" s="27">
        <v>9647</v>
      </c>
      <c r="S36" s="27">
        <v>11148</v>
      </c>
      <c r="T36" s="27">
        <v>11760</v>
      </c>
      <c r="U36" s="27">
        <v>11294</v>
      </c>
      <c r="V36" s="27">
        <v>11407</v>
      </c>
      <c r="W36" s="27">
        <v>12079</v>
      </c>
      <c r="X36" s="14">
        <f>13530.677-586.212</f>
        <v>12944.465</v>
      </c>
      <c r="Y36" s="27">
        <v>13421</v>
      </c>
      <c r="Z36" s="14">
        <v>14231</v>
      </c>
      <c r="AA36" s="14">
        <v>14231</v>
      </c>
      <c r="AB36" s="14">
        <v>12863</v>
      </c>
      <c r="AC36" s="14">
        <v>13517</v>
      </c>
      <c r="AD36" s="14">
        <v>14380</v>
      </c>
      <c r="AE36" s="14"/>
      <c r="AF36" s="3">
        <v>18727855</v>
      </c>
      <c r="AG36" s="92">
        <v>225853.46</v>
      </c>
      <c r="AH36" s="41">
        <v>0</v>
      </c>
      <c r="AI36" s="41">
        <v>0</v>
      </c>
      <c r="AJ36" s="3">
        <f>AF36-AG36-AH36+AI36</f>
        <v>18502001.54</v>
      </c>
      <c r="AK36" s="3">
        <f t="shared" si="5"/>
        <v>18502.001539999997</v>
      </c>
      <c r="AM36" s="3">
        <v>18361609</v>
      </c>
      <c r="AN36" s="92">
        <v>326943.19</v>
      </c>
      <c r="AO36" s="41">
        <v>0</v>
      </c>
      <c r="AP36" s="41">
        <v>0</v>
      </c>
      <c r="AQ36" s="3">
        <f>AM36-AN36-AO36+AP36</f>
        <v>18034665.81</v>
      </c>
      <c r="AR36" s="3">
        <f t="shared" si="6"/>
        <v>18034.66581</v>
      </c>
      <c r="AT36" s="241">
        <v>19290789.400000002</v>
      </c>
      <c r="AU36" s="92">
        <v>285681.48</v>
      </c>
      <c r="AV36" s="41">
        <v>0</v>
      </c>
      <c r="AW36" s="41">
        <v>0</v>
      </c>
      <c r="AX36" s="3">
        <f>AT36-AU36-AV36+AW36</f>
        <v>19005107.92</v>
      </c>
      <c r="AY36" s="3">
        <f t="shared" si="7"/>
        <v>19005.107920000002</v>
      </c>
      <c r="BA36" s="3">
        <v>20492325.64</v>
      </c>
      <c r="BB36" s="3">
        <v>991991.4</v>
      </c>
      <c r="BC36" s="3">
        <v>0</v>
      </c>
      <c r="BD36" s="3">
        <v>0</v>
      </c>
      <c r="BE36" s="3">
        <f>BA36-BB36-BC36+BD36</f>
        <v>19500334.240000002</v>
      </c>
      <c r="BF36" s="3">
        <f t="shared" si="8"/>
        <v>19500.334240000004</v>
      </c>
      <c r="BH36" s="3">
        <v>20227247.080000002</v>
      </c>
      <c r="BI36" s="3">
        <v>413418.4</v>
      </c>
      <c r="BJ36" s="3">
        <v>42206.09</v>
      </c>
      <c r="BK36" s="3">
        <v>0</v>
      </c>
      <c r="BL36" s="3">
        <f>BH36-BI36-BJ36+BK36</f>
        <v>19771622.590000004</v>
      </c>
      <c r="BM36" s="3">
        <f t="shared" si="9"/>
        <v>19771.622590000003</v>
      </c>
      <c r="BO36" s="3">
        <v>21245689.1</v>
      </c>
      <c r="BP36" s="3">
        <v>467764.95</v>
      </c>
      <c r="BQ36" s="3">
        <v>0</v>
      </c>
      <c r="BR36" s="3">
        <v>0</v>
      </c>
      <c r="BS36" s="3">
        <f>BO36-BP36-BQ36+BR36</f>
        <v>20777924.150000002</v>
      </c>
      <c r="BT36" s="3">
        <f>BS36/1000</f>
        <v>20777.924150000003</v>
      </c>
      <c r="BV36" s="128">
        <v>22448371.1</v>
      </c>
      <c r="BW36" s="3">
        <v>587198.03</v>
      </c>
      <c r="BX36" s="3">
        <v>0</v>
      </c>
      <c r="BY36" s="128">
        <v>0</v>
      </c>
      <c r="BZ36" s="3">
        <f>BV36-BW36-BX36+BY36</f>
        <v>21861173.07</v>
      </c>
      <c r="CA36" s="3">
        <f>BZ36/1000</f>
        <v>21861.17307</v>
      </c>
    </row>
    <row r="37" spans="1:79" ht="12.75">
      <c r="A37" s="1" t="s">
        <v>27</v>
      </c>
      <c r="B37" s="14">
        <v>65369</v>
      </c>
      <c r="C37" s="14">
        <v>69692</v>
      </c>
      <c r="D37" s="14">
        <v>71961</v>
      </c>
      <c r="E37" s="14">
        <v>77208</v>
      </c>
      <c r="F37" s="14">
        <v>83025</v>
      </c>
      <c r="G37" s="14">
        <v>89456.55541</v>
      </c>
      <c r="H37" s="14">
        <v>96288.42255999999</v>
      </c>
      <c r="I37" s="14">
        <v>105746.11441000001</v>
      </c>
      <c r="J37" s="14">
        <v>108355.58727000003</v>
      </c>
      <c r="K37" s="14">
        <v>110305.17501999995</v>
      </c>
      <c r="L37" s="245">
        <f>(K37-J37)*100/J37</f>
        <v>1.7992498579163652</v>
      </c>
      <c r="M37" s="48">
        <f>(K37-AC37)*100/AC37</f>
        <v>88.01270691506579</v>
      </c>
      <c r="N37" s="14">
        <v>29967</v>
      </c>
      <c r="O37" s="14">
        <v>31086</v>
      </c>
      <c r="P37" s="27">
        <v>33890</v>
      </c>
      <c r="Q37" s="27">
        <v>36664</v>
      </c>
      <c r="R37" s="27">
        <v>39519</v>
      </c>
      <c r="S37" s="27">
        <v>42889</v>
      </c>
      <c r="T37" s="27">
        <v>46709</v>
      </c>
      <c r="U37" s="27">
        <v>47745</v>
      </c>
      <c r="V37" s="27">
        <v>49363</v>
      </c>
      <c r="W37" s="27">
        <v>51828</v>
      </c>
      <c r="X37" s="14">
        <f>56245.003-600.422</f>
        <v>55644.581</v>
      </c>
      <c r="Y37" s="27">
        <v>56944</v>
      </c>
      <c r="Z37" s="14">
        <v>57972</v>
      </c>
      <c r="AA37" s="14">
        <v>57972</v>
      </c>
      <c r="AB37" s="14">
        <v>54976</v>
      </c>
      <c r="AC37" s="14">
        <v>58669</v>
      </c>
      <c r="AD37" s="14">
        <v>62171</v>
      </c>
      <c r="AE37" s="14"/>
      <c r="AF37" s="3">
        <v>77886766</v>
      </c>
      <c r="AG37" s="92">
        <v>630207.08</v>
      </c>
      <c r="AH37" s="41">
        <v>49002.7</v>
      </c>
      <c r="AI37" s="41">
        <v>0</v>
      </c>
      <c r="AJ37" s="3">
        <f>AF37-AG37-AH37+AI37</f>
        <v>77207556.22</v>
      </c>
      <c r="AK37" s="3">
        <f t="shared" si="5"/>
        <v>77207.55622</v>
      </c>
      <c r="AM37" s="3">
        <v>83696746</v>
      </c>
      <c r="AN37" s="92">
        <v>660493.84</v>
      </c>
      <c r="AO37" s="41">
        <v>11431</v>
      </c>
      <c r="AP37" s="41">
        <v>0</v>
      </c>
      <c r="AQ37" s="3">
        <f>AM37-AN37-AO37+AP37</f>
        <v>83024821.16</v>
      </c>
      <c r="AR37" s="3">
        <f t="shared" si="6"/>
        <v>83024.82115999999</v>
      </c>
      <c r="AT37" s="241">
        <v>90525631.85</v>
      </c>
      <c r="AU37" s="92">
        <v>1065091.44</v>
      </c>
      <c r="AV37" s="41">
        <v>3985</v>
      </c>
      <c r="AW37" s="41">
        <v>0</v>
      </c>
      <c r="AX37" s="3">
        <f>AT37-AU37-AV37+AW37</f>
        <v>89456555.41</v>
      </c>
      <c r="AY37" s="3">
        <f t="shared" si="7"/>
        <v>89456.55541</v>
      </c>
      <c r="BA37" s="3">
        <v>97461260.24999999</v>
      </c>
      <c r="BB37" s="3">
        <v>1172837.69</v>
      </c>
      <c r="BC37" s="3">
        <v>0</v>
      </c>
      <c r="BD37" s="3">
        <v>0</v>
      </c>
      <c r="BE37" s="3">
        <f>BA37-BB37-BC37+BD37</f>
        <v>96288422.55999999</v>
      </c>
      <c r="BF37" s="3">
        <f t="shared" si="8"/>
        <v>96288.42255999999</v>
      </c>
      <c r="BH37" s="3">
        <v>106911873.48</v>
      </c>
      <c r="BI37" s="3">
        <v>1165759.07</v>
      </c>
      <c r="BJ37" s="3">
        <v>0</v>
      </c>
      <c r="BK37" s="3">
        <v>0</v>
      </c>
      <c r="BL37" s="3">
        <f>BH37-BI37-BJ37+BK37</f>
        <v>105746114.41000001</v>
      </c>
      <c r="BM37" s="3">
        <f t="shared" si="9"/>
        <v>105746.11441000001</v>
      </c>
      <c r="BO37" s="3">
        <v>109233714.39000003</v>
      </c>
      <c r="BP37" s="3">
        <v>878127.12</v>
      </c>
      <c r="BQ37" s="3">
        <v>0</v>
      </c>
      <c r="BR37" s="3">
        <v>0</v>
      </c>
      <c r="BS37" s="3">
        <f>BO37-BP37-BQ37+BR37</f>
        <v>108355587.27000003</v>
      </c>
      <c r="BT37" s="3">
        <f>BS37/1000</f>
        <v>108355.58727000003</v>
      </c>
      <c r="BV37" s="128">
        <v>110901499.66999996</v>
      </c>
      <c r="BW37" s="3">
        <v>596324.65</v>
      </c>
      <c r="BX37" s="3">
        <v>0</v>
      </c>
      <c r="BY37" s="128">
        <v>0</v>
      </c>
      <c r="BZ37" s="3">
        <f>BV37-BW37-BX37+BY37</f>
        <v>110305175.01999995</v>
      </c>
      <c r="CA37" s="3">
        <f>BZ37/1000</f>
        <v>110305.17501999995</v>
      </c>
    </row>
    <row r="38" spans="1:79" ht="12.75">
      <c r="A38" s="1" t="s">
        <v>28</v>
      </c>
      <c r="B38" s="14">
        <v>48837</v>
      </c>
      <c r="C38" s="14">
        <v>50780</v>
      </c>
      <c r="D38" s="14">
        <v>53006</v>
      </c>
      <c r="E38" s="14">
        <v>56255</v>
      </c>
      <c r="F38" s="14">
        <v>58528</v>
      </c>
      <c r="G38" s="14">
        <v>62684.912699999986</v>
      </c>
      <c r="H38" s="14">
        <v>68463.23869000001</v>
      </c>
      <c r="I38" s="14">
        <v>72849.17899000001</v>
      </c>
      <c r="J38" s="14">
        <v>75692.09394</v>
      </c>
      <c r="K38" s="14">
        <v>77330.36882</v>
      </c>
      <c r="L38" s="245">
        <f>(K38-J38)*100/J38</f>
        <v>2.164393656883945</v>
      </c>
      <c r="M38" s="48">
        <f>(K38-AC38)*100/AC38</f>
        <v>82.1938762133635</v>
      </c>
      <c r="N38" s="14">
        <v>18340</v>
      </c>
      <c r="O38" s="14">
        <v>19231</v>
      </c>
      <c r="P38" s="27">
        <v>21074</v>
      </c>
      <c r="Q38" s="27">
        <v>23511</v>
      </c>
      <c r="R38" s="27">
        <v>26081</v>
      </c>
      <c r="S38" s="27">
        <v>29066</v>
      </c>
      <c r="T38" s="27">
        <v>32491</v>
      </c>
      <c r="U38" s="27">
        <v>32521</v>
      </c>
      <c r="V38" s="27">
        <v>34373</v>
      </c>
      <c r="W38" s="27">
        <v>35574</v>
      </c>
      <c r="X38" s="14">
        <f>38591.121-481.061</f>
        <v>38110.06</v>
      </c>
      <c r="Y38" s="27">
        <v>38437</v>
      </c>
      <c r="Z38" s="14">
        <v>40952</v>
      </c>
      <c r="AA38" s="14">
        <v>40952</v>
      </c>
      <c r="AB38" s="14">
        <v>38959</v>
      </c>
      <c r="AC38" s="14">
        <v>42444</v>
      </c>
      <c r="AD38" s="14">
        <v>45605</v>
      </c>
      <c r="AE38" s="14"/>
      <c r="AF38" s="3">
        <v>56809494</v>
      </c>
      <c r="AG38" s="92">
        <v>258946.27</v>
      </c>
      <c r="AH38" s="41">
        <v>297569.68</v>
      </c>
      <c r="AI38" s="41">
        <v>1732</v>
      </c>
      <c r="AJ38" s="3">
        <f>AF38-AG38-AH38+AI38</f>
        <v>56254710.05</v>
      </c>
      <c r="AK38" s="3">
        <f t="shared" si="5"/>
        <v>56254.710049999994</v>
      </c>
      <c r="AM38" s="3">
        <v>59016888</v>
      </c>
      <c r="AN38" s="92">
        <v>122138.58</v>
      </c>
      <c r="AO38" s="41">
        <v>366695.47</v>
      </c>
      <c r="AP38" s="41">
        <v>0</v>
      </c>
      <c r="AQ38" s="3">
        <f>AM38-AN38-AO38+AP38</f>
        <v>58528053.95</v>
      </c>
      <c r="AR38" s="3">
        <f t="shared" si="6"/>
        <v>58528.05395</v>
      </c>
      <c r="AT38" s="241">
        <v>63280582.989999995</v>
      </c>
      <c r="AU38" s="92">
        <v>194812.02</v>
      </c>
      <c r="AV38" s="41">
        <v>400858.27</v>
      </c>
      <c r="AW38" s="41">
        <v>0</v>
      </c>
      <c r="AX38" s="3">
        <f>AT38-AU38-AV38+AW38</f>
        <v>62684912.69999999</v>
      </c>
      <c r="AY38" s="3">
        <f t="shared" si="7"/>
        <v>62684.912699999986</v>
      </c>
      <c r="BA38" s="3">
        <v>69320626.75000001</v>
      </c>
      <c r="BB38" s="3">
        <v>328830.34</v>
      </c>
      <c r="BC38" s="3">
        <v>528557.72</v>
      </c>
      <c r="BD38" s="3">
        <v>0</v>
      </c>
      <c r="BE38" s="3">
        <f>BA38-BB38-BC38+BD38</f>
        <v>68463238.69000001</v>
      </c>
      <c r="BF38" s="3">
        <f t="shared" si="8"/>
        <v>68463.23869000001</v>
      </c>
      <c r="BH38" s="3">
        <v>73892968.41000001</v>
      </c>
      <c r="BI38" s="3">
        <v>402552.41</v>
      </c>
      <c r="BJ38" s="3">
        <v>641237.01</v>
      </c>
      <c r="BK38" s="3">
        <v>0</v>
      </c>
      <c r="BL38" s="3">
        <f>BH38-BI38-BJ38+BK38</f>
        <v>72849178.99000001</v>
      </c>
      <c r="BM38" s="3">
        <f t="shared" si="9"/>
        <v>72849.17899000001</v>
      </c>
      <c r="BO38" s="3">
        <v>76672971.06</v>
      </c>
      <c r="BP38" s="3">
        <v>269094.63</v>
      </c>
      <c r="BQ38" s="3">
        <v>711782.49</v>
      </c>
      <c r="BR38" s="3">
        <v>0</v>
      </c>
      <c r="BS38" s="3">
        <f>BO38-BP38-BQ38+BR38</f>
        <v>75692093.94000001</v>
      </c>
      <c r="BT38" s="3">
        <f>BS38/1000</f>
        <v>75692.09394</v>
      </c>
      <c r="BV38" s="128">
        <v>78194337.46000001</v>
      </c>
      <c r="BW38" s="3">
        <v>378591.9199999999</v>
      </c>
      <c r="BX38" s="3">
        <v>485376.72</v>
      </c>
      <c r="BY38" s="128">
        <v>0</v>
      </c>
      <c r="BZ38" s="3">
        <f>BV38-BW38-BX38+BY38</f>
        <v>77330368.82000001</v>
      </c>
      <c r="CA38" s="3">
        <f>BZ38/1000</f>
        <v>77330.36882</v>
      </c>
    </row>
    <row r="39" spans="1:79" ht="13.5" thickBot="1">
      <c r="A39" s="17" t="s">
        <v>29</v>
      </c>
      <c r="B39" s="14">
        <v>27255</v>
      </c>
      <c r="C39" s="14">
        <v>29462</v>
      </c>
      <c r="D39" s="14">
        <v>31780</v>
      </c>
      <c r="E39" s="14">
        <v>33380</v>
      </c>
      <c r="F39" s="14">
        <v>35664</v>
      </c>
      <c r="G39" s="14">
        <v>37524.65357999999</v>
      </c>
      <c r="H39" s="14">
        <v>41084.55956000001</v>
      </c>
      <c r="I39" s="14">
        <v>43869.768100000016</v>
      </c>
      <c r="J39" s="14">
        <v>45777.68477</v>
      </c>
      <c r="K39" s="14">
        <v>44915.76202</v>
      </c>
      <c r="L39" s="245">
        <f>(K39-J39)*100/J39</f>
        <v>-1.8828447841574796</v>
      </c>
      <c r="M39" s="48">
        <f>(K39-AC39)*100/AC39</f>
        <v>90.2323578840371</v>
      </c>
      <c r="N39" s="24">
        <v>10141</v>
      </c>
      <c r="O39" s="14">
        <v>10503</v>
      </c>
      <c r="P39" s="27">
        <v>12278</v>
      </c>
      <c r="Q39" s="27">
        <v>13084</v>
      </c>
      <c r="R39" s="27">
        <v>14241</v>
      </c>
      <c r="S39" s="27">
        <v>15789</v>
      </c>
      <c r="T39" s="27">
        <v>17455</v>
      </c>
      <c r="U39" s="27">
        <v>18140</v>
      </c>
      <c r="V39" s="27">
        <v>19030</v>
      </c>
      <c r="W39" s="27">
        <v>19975</v>
      </c>
      <c r="X39" s="14">
        <f>21423.706-462.395</f>
        <v>20961.310999999998</v>
      </c>
      <c r="Y39" s="27">
        <v>21276</v>
      </c>
      <c r="Z39" s="14">
        <v>22883</v>
      </c>
      <c r="AA39" s="14">
        <v>22883</v>
      </c>
      <c r="AB39" s="14">
        <v>21807</v>
      </c>
      <c r="AC39" s="14">
        <v>23611</v>
      </c>
      <c r="AD39" s="14">
        <v>24753</v>
      </c>
      <c r="AE39" s="14"/>
      <c r="AF39" s="3">
        <v>33772166</v>
      </c>
      <c r="AG39" s="93">
        <v>195572.91</v>
      </c>
      <c r="AH39" s="93">
        <v>196171.15</v>
      </c>
      <c r="AI39" s="93">
        <v>0</v>
      </c>
      <c r="AJ39" s="3">
        <f>AF39-AG39-AH39+AI39</f>
        <v>33380421.940000005</v>
      </c>
      <c r="AK39" s="3">
        <f t="shared" si="5"/>
        <v>33380.42194000001</v>
      </c>
      <c r="AM39" s="3">
        <v>36538572</v>
      </c>
      <c r="AN39" s="93">
        <v>658428.98</v>
      </c>
      <c r="AO39" s="93">
        <v>217023.99</v>
      </c>
      <c r="AP39" s="93">
        <v>835.58</v>
      </c>
      <c r="AQ39" s="3">
        <f>AM39-AN39-AO39+AP39</f>
        <v>35663954.61</v>
      </c>
      <c r="AR39" s="3">
        <f t="shared" si="6"/>
        <v>35663.95461</v>
      </c>
      <c r="AT39" s="241">
        <v>38486373.19999999</v>
      </c>
      <c r="AU39" s="93">
        <v>710460.66</v>
      </c>
      <c r="AV39" s="93">
        <v>251258.96</v>
      </c>
      <c r="AW39" s="93">
        <v>0</v>
      </c>
      <c r="AX39" s="3">
        <f>AT39-AU39-AV39+AW39</f>
        <v>37524653.57999999</v>
      </c>
      <c r="AY39" s="3">
        <f t="shared" si="7"/>
        <v>37524.65357999999</v>
      </c>
      <c r="BA39" s="3">
        <v>42312406.96000001</v>
      </c>
      <c r="BB39" s="3">
        <v>893723.1</v>
      </c>
      <c r="BC39" s="3">
        <v>334124.3</v>
      </c>
      <c r="BD39" s="3">
        <v>0</v>
      </c>
      <c r="BE39" s="3">
        <f>BA39-BB39-BC39+BD39</f>
        <v>41084559.56000001</v>
      </c>
      <c r="BF39" s="3">
        <f t="shared" si="8"/>
        <v>41084.55956000001</v>
      </c>
      <c r="BH39" s="3">
        <v>44568101.19000001</v>
      </c>
      <c r="BI39" s="3">
        <v>388157.51</v>
      </c>
      <c r="BJ39" s="3">
        <v>310175.58</v>
      </c>
      <c r="BK39" s="3">
        <v>0</v>
      </c>
      <c r="BL39" s="3">
        <f>BH39-BI39-BJ39+BK39</f>
        <v>43869768.10000002</v>
      </c>
      <c r="BM39" s="3">
        <f t="shared" si="9"/>
        <v>43869.768100000016</v>
      </c>
      <c r="BO39" s="3">
        <v>46268199.260000005</v>
      </c>
      <c r="BP39" s="3">
        <v>177229.38</v>
      </c>
      <c r="BQ39" s="3">
        <v>313285.1099999999</v>
      </c>
      <c r="BR39" s="3">
        <v>0</v>
      </c>
      <c r="BS39" s="3">
        <f>BO39-BP39-BQ39+BR39</f>
        <v>45777684.77</v>
      </c>
      <c r="BT39" s="3">
        <f>BS39/1000</f>
        <v>45777.68477</v>
      </c>
      <c r="BV39" s="129">
        <v>46042506.50000001</v>
      </c>
      <c r="BW39" s="3">
        <v>822764.74</v>
      </c>
      <c r="BX39" s="3">
        <v>303979.74000000005</v>
      </c>
      <c r="BY39" s="289">
        <v>0</v>
      </c>
      <c r="BZ39" s="3">
        <f>BV39-BW39-BX39+BY39</f>
        <v>44915762.02</v>
      </c>
      <c r="CA39" s="3">
        <f>BZ39/1000</f>
        <v>44915.76202</v>
      </c>
    </row>
    <row r="40" spans="1:46" ht="12.75">
      <c r="A40" s="1" t="s">
        <v>294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P40" s="18"/>
      <c r="Q40" s="18"/>
      <c r="R40" s="18"/>
      <c r="V40" s="18"/>
      <c r="X40" s="19"/>
      <c r="AB40" s="18"/>
      <c r="AC40" s="7"/>
      <c r="AT40" s="241"/>
    </row>
    <row r="41" ht="12.75">
      <c r="X41" s="14"/>
    </row>
    <row r="42" spans="1:24" ht="12.75">
      <c r="A42" s="30" t="s">
        <v>101</v>
      </c>
      <c r="P42" s="14"/>
      <c r="Q42" s="14"/>
      <c r="R42" s="14"/>
      <c r="X42" s="14"/>
    </row>
    <row r="43" spans="1:24" ht="12.75">
      <c r="A43" s="1" t="s">
        <v>102</v>
      </c>
      <c r="P43" s="14"/>
      <c r="Q43" s="14"/>
      <c r="R43" s="14"/>
      <c r="X43" s="14"/>
    </row>
    <row r="44" spans="16:24" ht="12.75">
      <c r="P44" s="14"/>
      <c r="Q44" s="14"/>
      <c r="R44" s="14"/>
      <c r="X44" s="14"/>
    </row>
    <row r="45" spans="12:24" ht="12.75">
      <c r="L45" s="89"/>
      <c r="M45" s="89"/>
      <c r="P45" s="14"/>
      <c r="Q45" s="14"/>
      <c r="R45" s="14"/>
      <c r="X45" s="14"/>
    </row>
    <row r="46" spans="16:24" ht="12.75">
      <c r="P46" s="14"/>
      <c r="Q46" s="14"/>
      <c r="R46" s="14"/>
      <c r="X46" s="14"/>
    </row>
    <row r="47" spans="12:24" ht="12.75">
      <c r="L47" s="212"/>
      <c r="M47" s="212"/>
      <c r="O47" s="212"/>
      <c r="P47" s="212"/>
      <c r="X47" s="14"/>
    </row>
    <row r="48" spans="12:24" ht="12.75">
      <c r="L48" s="212"/>
      <c r="M48" s="212"/>
      <c r="O48" s="212"/>
      <c r="P48" s="212"/>
      <c r="X48" s="14"/>
    </row>
    <row r="49" spans="12:24" ht="12.75">
      <c r="L49" s="212"/>
      <c r="M49" s="212"/>
      <c r="O49" s="212"/>
      <c r="P49" s="212"/>
      <c r="X49" s="14"/>
    </row>
    <row r="50" spans="12:24" ht="12.75">
      <c r="L50" s="212"/>
      <c r="M50" s="212"/>
      <c r="O50" s="212"/>
      <c r="P50" s="212"/>
      <c r="X50" s="14"/>
    </row>
    <row r="51" spans="12:24" ht="12.75">
      <c r="L51" s="212"/>
      <c r="M51" s="212"/>
      <c r="O51" s="212"/>
      <c r="P51" s="212"/>
      <c r="X51" s="14"/>
    </row>
    <row r="52" spans="12:24" ht="12.75">
      <c r="L52" s="212"/>
      <c r="M52" s="212"/>
      <c r="O52" s="212"/>
      <c r="P52" s="212"/>
      <c r="X52" s="14"/>
    </row>
    <row r="53" spans="12:24" ht="12.75">
      <c r="L53" s="212"/>
      <c r="M53" s="212"/>
      <c r="O53" s="212"/>
      <c r="P53" s="212"/>
      <c r="X53" s="14"/>
    </row>
    <row r="54" spans="12:16" ht="12.75">
      <c r="L54" s="212"/>
      <c r="M54" s="212"/>
      <c r="O54" s="212"/>
      <c r="P54" s="212"/>
    </row>
    <row r="55" spans="12:16" ht="12.75">
      <c r="L55" s="212"/>
      <c r="M55" s="212"/>
      <c r="O55" s="212"/>
      <c r="P55" s="212"/>
    </row>
    <row r="56" spans="12:16" ht="12.75">
      <c r="L56" s="212"/>
      <c r="M56" s="212"/>
      <c r="O56" s="212"/>
      <c r="P56" s="212"/>
    </row>
    <row r="57" spans="12:16" ht="12.75">
      <c r="L57" s="212"/>
      <c r="M57" s="212"/>
      <c r="O57" s="212"/>
      <c r="P57" s="212"/>
    </row>
    <row r="58" spans="12:16" ht="12.75">
      <c r="L58" s="212"/>
      <c r="M58" s="212"/>
      <c r="O58" s="212"/>
      <c r="P58" s="212"/>
    </row>
    <row r="59" spans="12:16" ht="12.75">
      <c r="L59" s="212"/>
      <c r="M59" s="212"/>
      <c r="O59" s="212"/>
      <c r="P59" s="212"/>
    </row>
    <row r="60" spans="12:16" ht="12.75">
      <c r="L60" s="212"/>
      <c r="M60" s="212"/>
      <c r="O60" s="212"/>
      <c r="P60" s="212"/>
    </row>
    <row r="61" spans="12:16" ht="12.75">
      <c r="L61" s="212"/>
      <c r="M61" s="212"/>
      <c r="O61" s="212"/>
      <c r="P61" s="212"/>
    </row>
    <row r="62" spans="12:16" ht="12.75">
      <c r="L62" s="212"/>
      <c r="M62" s="212"/>
      <c r="O62" s="212"/>
      <c r="P62" s="212"/>
    </row>
    <row r="63" spans="12:16" ht="12.75">
      <c r="L63" s="212"/>
      <c r="M63" s="212"/>
      <c r="O63" s="212"/>
      <c r="P63" s="212"/>
    </row>
    <row r="64" spans="12:16" ht="12.75">
      <c r="L64" s="212"/>
      <c r="M64" s="212"/>
      <c r="O64" s="212"/>
      <c r="P64" s="212"/>
    </row>
    <row r="65" spans="12:16" ht="12.75">
      <c r="L65" s="212"/>
      <c r="M65" s="212"/>
      <c r="O65" s="212"/>
      <c r="P65" s="212"/>
    </row>
    <row r="66" spans="12:16" ht="12.75">
      <c r="L66" s="212"/>
      <c r="M66" s="212"/>
      <c r="O66" s="212"/>
      <c r="P66" s="212"/>
    </row>
    <row r="67" spans="12:16" ht="12.75">
      <c r="L67" s="212"/>
      <c r="M67" s="212"/>
      <c r="O67" s="212"/>
      <c r="P67" s="212"/>
    </row>
    <row r="68" spans="12:16" ht="12.75">
      <c r="L68" s="212"/>
      <c r="M68" s="212"/>
      <c r="O68" s="212"/>
      <c r="P68" s="212"/>
    </row>
    <row r="69" spans="12:16" ht="12.75">
      <c r="L69" s="212"/>
      <c r="M69" s="212"/>
      <c r="O69" s="212"/>
      <c r="P69" s="212"/>
    </row>
    <row r="70" spans="12:16" ht="12.75">
      <c r="L70" s="212"/>
      <c r="M70" s="212"/>
      <c r="O70" s="212"/>
      <c r="P70" s="212"/>
    </row>
    <row r="71" spans="12:16" ht="12.75">
      <c r="L71" s="212"/>
      <c r="M71" s="212"/>
      <c r="O71" s="212"/>
      <c r="P71" s="212"/>
    </row>
    <row r="72" spans="12:16" ht="12.75">
      <c r="L72" s="212"/>
      <c r="M72" s="212"/>
      <c r="O72" s="212"/>
      <c r="P72" s="212"/>
    </row>
    <row r="73" spans="12:16" ht="12.75">
      <c r="L73" s="212"/>
      <c r="M73" s="212"/>
      <c r="O73" s="212"/>
      <c r="P73" s="212"/>
    </row>
    <row r="74" spans="12:16" ht="12.75">
      <c r="L74" s="212"/>
      <c r="M74" s="212"/>
      <c r="O74" s="212"/>
      <c r="P74" s="212"/>
    </row>
  </sheetData>
  <sheetProtection password="CAF5" sheet="1"/>
  <mergeCells count="17">
    <mergeCell ref="A4:M4"/>
    <mergeCell ref="BH5:BM5"/>
    <mergeCell ref="BL6:BL7"/>
    <mergeCell ref="BM6:BM7"/>
    <mergeCell ref="AF5:AK5"/>
    <mergeCell ref="BA5:BF5"/>
    <mergeCell ref="BE6:BE7"/>
    <mergeCell ref="BF6:BF7"/>
    <mergeCell ref="AT5:AY5"/>
    <mergeCell ref="AX6:AX7"/>
    <mergeCell ref="AY6:AY7"/>
    <mergeCell ref="L7:M7"/>
    <mergeCell ref="AM5:AR5"/>
    <mergeCell ref="AQ6:AQ7"/>
    <mergeCell ref="AR6:AR7"/>
    <mergeCell ref="AJ6:AJ7"/>
    <mergeCell ref="AK6:AK7"/>
  </mergeCells>
  <printOptions/>
  <pageMargins left="0.54" right="0.49" top="1" bottom="1" header="0.5" footer="0.5"/>
  <pageSetup fitToHeight="1" fitToWidth="1" orientation="landscape" scale="78" r:id="rId3"/>
  <headerFooter scaleWithDoc="0" alignWithMargins="0">
    <oddHeader xml:space="preserve">&amp;R&amp;10 </oddHeader>
    <oddFooter>&amp;L&amp;"Arial,Italic"&amp;10MSDE-LFRO   10 / 2011&amp;C&amp;"Arial,Regular"&amp;10- 8 -&amp;R&amp;"Arial,Italic"&amp;10Selected Financial Data - Part 4</oddFooter>
  </headerFooter>
  <rowBreaks count="1" manualBreakCount="1">
    <brk id="41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3"/>
  <sheetViews>
    <sheetView zoomScalePageLayoutView="0" workbookViewId="0" topLeftCell="A28">
      <selection activeCell="M11" sqref="M11"/>
    </sheetView>
  </sheetViews>
  <sheetFormatPr defaultColWidth="10.00390625" defaultRowHeight="15.75"/>
  <cols>
    <col min="1" max="1" width="12.875" style="1" customWidth="1"/>
    <col min="2" max="11" width="12.625" style="1" customWidth="1"/>
    <col min="12" max="12" width="7.625" style="1" customWidth="1"/>
    <col min="13" max="13" width="8.625" style="1" customWidth="1"/>
    <col min="14" max="14" width="9.125" style="1" bestFit="1" customWidth="1"/>
    <col min="15" max="15" width="8.625" style="1" customWidth="1"/>
    <col min="16" max="16" width="9.125" style="1" bestFit="1" customWidth="1"/>
    <col min="17" max="24" width="10.125" style="1" customWidth="1"/>
    <col min="25" max="25" width="12.625" style="1" customWidth="1"/>
    <col min="26" max="26" width="10.875" style="113" bestFit="1" customWidth="1"/>
    <col min="27" max="29" width="12.625" style="1" customWidth="1"/>
    <col min="30" max="30" width="10.875" style="113" customWidth="1"/>
    <col min="31" max="31" width="12.25390625" style="3" customWidth="1"/>
    <col min="32" max="33" width="11.125" style="3" bestFit="1" customWidth="1"/>
    <col min="34" max="34" width="11.125" style="3" customWidth="1"/>
    <col min="35" max="35" width="10.125" style="3" customWidth="1"/>
    <col min="36" max="36" width="4.75390625" style="3" customWidth="1"/>
    <col min="37" max="37" width="12.50390625" style="3" bestFit="1" customWidth="1"/>
    <col min="38" max="38" width="12.625" style="3" customWidth="1"/>
    <col min="39" max="39" width="11.625" style="3" customWidth="1"/>
    <col min="40" max="40" width="12.50390625" style="3" bestFit="1" customWidth="1"/>
    <col min="41" max="44" width="10.125" style="3" customWidth="1"/>
    <col min="45" max="45" width="11.125" style="3" customWidth="1"/>
    <col min="46" max="46" width="10.125" style="3" customWidth="1"/>
    <col min="47" max="47" width="12.50390625" style="3" bestFit="1" customWidth="1"/>
    <col min="48" max="48" width="10.125" style="3" customWidth="1"/>
    <col min="49" max="49" width="19.875" style="3" bestFit="1" customWidth="1"/>
    <col min="50" max="50" width="11.125" style="3" bestFit="1" customWidth="1"/>
    <col min="51" max="52" width="10.125" style="3" customWidth="1"/>
    <col min="53" max="53" width="11.125" style="3" bestFit="1" customWidth="1"/>
    <col min="54" max="54" width="10.125" style="3" customWidth="1"/>
    <col min="55" max="55" width="11.125" style="3" bestFit="1" customWidth="1"/>
    <col min="56" max="56" width="10.125" style="3" customWidth="1"/>
    <col min="57" max="57" width="12.50390625" style="3" bestFit="1" customWidth="1"/>
    <col min="58" max="58" width="10.125" style="3" customWidth="1"/>
    <col min="59" max="59" width="19.875" style="3" bestFit="1" customWidth="1"/>
    <col min="60" max="60" width="12.50390625" style="3" customWidth="1"/>
    <col min="61" max="62" width="10.125" style="3" customWidth="1"/>
    <col min="63" max="63" width="11.125" style="3" bestFit="1" customWidth="1"/>
    <col min="64" max="64" width="10.125" style="3" customWidth="1"/>
    <col min="65" max="65" width="11.125" style="3" bestFit="1" customWidth="1"/>
    <col min="66" max="66" width="10.00390625" style="3" customWidth="1"/>
    <col min="67" max="67" width="10.875" style="3" customWidth="1"/>
    <col min="68" max="68" width="10.00390625" style="3" customWidth="1"/>
    <col min="69" max="69" width="10.875" style="3" customWidth="1"/>
    <col min="70" max="70" width="5.875" style="3" customWidth="1"/>
    <col min="71" max="71" width="13.00390625" style="3" customWidth="1"/>
    <col min="72" max="72" width="10.875" style="3" customWidth="1"/>
    <col min="73" max="73" width="11.25390625" style="3" customWidth="1"/>
    <col min="74" max="74" width="12.25390625" style="3" customWidth="1"/>
    <col min="75" max="75" width="10.125" style="3" bestFit="1" customWidth="1"/>
    <col min="76" max="76" width="10.00390625" style="3" customWidth="1"/>
    <col min="77" max="77" width="12.375" style="3" customWidth="1"/>
    <col min="78" max="78" width="10.00390625" style="3" customWidth="1"/>
    <col min="79" max="79" width="18.625" style="3" customWidth="1"/>
    <col min="80" max="80" width="12.50390625" style="3" bestFit="1" customWidth="1"/>
    <col min="81" max="82" width="10.00390625" style="3" customWidth="1"/>
    <col min="83" max="83" width="14.375" style="3" customWidth="1"/>
    <col min="84" max="84" width="12.625" style="3" customWidth="1"/>
    <col min="85" max="85" width="19.875" style="3" bestFit="1" customWidth="1"/>
    <col min="86" max="86" width="12.50390625" style="3" bestFit="1" customWidth="1"/>
    <col min="87" max="87" width="10.125" style="3" bestFit="1" customWidth="1"/>
    <col min="88" max="16384" width="10.00390625" style="3" customWidth="1"/>
  </cols>
  <sheetData>
    <row r="1" spans="1:29" ht="15.75" customHeight="1">
      <c r="A1" s="115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68"/>
      <c r="O1" s="68"/>
      <c r="P1" s="10"/>
      <c r="Y1" s="10"/>
      <c r="AA1" s="68"/>
      <c r="AB1" s="68"/>
      <c r="AC1" s="68"/>
    </row>
    <row r="2" spans="1:29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Y2" s="94"/>
      <c r="AA2" s="68"/>
      <c r="AB2" s="68"/>
      <c r="AC2" s="68"/>
    </row>
    <row r="3" spans="1:29" ht="12.75">
      <c r="A3" s="115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201"/>
      <c r="O3" s="10"/>
      <c r="P3" s="68"/>
      <c r="R3" s="2"/>
      <c r="S3" s="28"/>
      <c r="Y3" s="115"/>
      <c r="AA3" s="201"/>
      <c r="AB3" s="201"/>
      <c r="AC3" s="201"/>
    </row>
    <row r="4" spans="1:36" ht="12.75">
      <c r="A4" s="314" t="s">
        <v>283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115"/>
      <c r="O4" s="201"/>
      <c r="P4" s="201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1"/>
    </row>
    <row r="5" spans="1:29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Y5" s="94"/>
      <c r="AA5" s="94"/>
      <c r="AB5" s="94"/>
      <c r="AC5" s="94"/>
    </row>
    <row r="6" spans="1:83" ht="14.25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7"/>
      <c r="AE6" s="326" t="s">
        <v>189</v>
      </c>
      <c r="AF6" s="327"/>
      <c r="AG6" s="327"/>
      <c r="AH6" s="327"/>
      <c r="AI6" s="328"/>
      <c r="AK6" s="326" t="s">
        <v>196</v>
      </c>
      <c r="AL6" s="327"/>
      <c r="AM6" s="327"/>
      <c r="AN6" s="327"/>
      <c r="AO6" s="328"/>
      <c r="AU6" s="326" t="s">
        <v>216</v>
      </c>
      <c r="AV6" s="327"/>
      <c r="AW6" s="327"/>
      <c r="AX6" s="327"/>
      <c r="AY6" s="328"/>
      <c r="BE6" s="326" t="s">
        <v>246</v>
      </c>
      <c r="BF6" s="327"/>
      <c r="BG6" s="327"/>
      <c r="BH6" s="327"/>
      <c r="BI6" s="328"/>
      <c r="BK6" s="318" t="s">
        <v>247</v>
      </c>
      <c r="BL6" s="318"/>
      <c r="BO6" s="318" t="s">
        <v>260</v>
      </c>
      <c r="BP6" s="318"/>
      <c r="BS6" s="3" t="s">
        <v>261</v>
      </c>
      <c r="BY6" s="3" t="s">
        <v>272</v>
      </c>
      <c r="CE6" s="3" t="s">
        <v>287</v>
      </c>
    </row>
    <row r="7" spans="1:86" ht="12.75">
      <c r="A7" s="7"/>
      <c r="L7" s="315" t="s">
        <v>34</v>
      </c>
      <c r="M7" s="315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D7" s="7"/>
      <c r="AE7" s="113" t="s">
        <v>117</v>
      </c>
      <c r="AF7" s="113" t="s">
        <v>117</v>
      </c>
      <c r="AG7" s="113" t="s">
        <v>117</v>
      </c>
      <c r="AH7" s="113" t="s">
        <v>116</v>
      </c>
      <c r="AI7" s="188"/>
      <c r="AK7" s="113" t="s">
        <v>117</v>
      </c>
      <c r="AL7" s="113" t="s">
        <v>117</v>
      </c>
      <c r="AM7" s="113" t="s">
        <v>197</v>
      </c>
      <c r="AN7" s="113" t="s">
        <v>116</v>
      </c>
      <c r="AO7" s="188"/>
      <c r="AU7" s="113" t="s">
        <v>117</v>
      </c>
      <c r="AV7" s="113" t="s">
        <v>117</v>
      </c>
      <c r="AW7" s="113" t="s">
        <v>197</v>
      </c>
      <c r="AX7" s="113" t="s">
        <v>116</v>
      </c>
      <c r="AY7" s="188"/>
      <c r="BE7" s="113" t="s">
        <v>117</v>
      </c>
      <c r="BF7" s="113" t="s">
        <v>117</v>
      </c>
      <c r="BG7" s="113" t="s">
        <v>197</v>
      </c>
      <c r="BH7" s="113" t="s">
        <v>116</v>
      </c>
      <c r="BI7" s="188"/>
      <c r="BK7" s="3" t="s">
        <v>199</v>
      </c>
      <c r="BO7" s="3" t="s">
        <v>199</v>
      </c>
      <c r="BS7" s="3" t="s">
        <v>117</v>
      </c>
      <c r="BT7" s="3" t="s">
        <v>117</v>
      </c>
      <c r="BU7" s="3" t="s">
        <v>197</v>
      </c>
      <c r="BV7" s="3" t="s">
        <v>116</v>
      </c>
      <c r="BY7" s="3" t="s">
        <v>117</v>
      </c>
      <c r="BZ7" s="3" t="s">
        <v>117</v>
      </c>
      <c r="CA7" s="3" t="s">
        <v>197</v>
      </c>
      <c r="CB7" s="3" t="s">
        <v>116</v>
      </c>
      <c r="CE7" s="3" t="s">
        <v>117</v>
      </c>
      <c r="CF7" s="3" t="s">
        <v>117</v>
      </c>
      <c r="CG7" s="3" t="s">
        <v>197</v>
      </c>
      <c r="CH7" s="3" t="s">
        <v>116</v>
      </c>
    </row>
    <row r="8" spans="1:8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13" t="s">
        <v>114</v>
      </c>
      <c r="AF8" s="113" t="s">
        <v>114</v>
      </c>
      <c r="AG8" s="113" t="s">
        <v>114</v>
      </c>
      <c r="AH8" s="113" t="s">
        <v>114</v>
      </c>
      <c r="AK8" s="113" t="s">
        <v>114</v>
      </c>
      <c r="AL8" s="113" t="s">
        <v>114</v>
      </c>
      <c r="AM8" s="324" t="s">
        <v>198</v>
      </c>
      <c r="AN8" s="113" t="s">
        <v>114</v>
      </c>
      <c r="AQ8" s="3" t="s">
        <v>199</v>
      </c>
      <c r="AU8" s="113" t="s">
        <v>114</v>
      </c>
      <c r="AV8" s="113" t="s">
        <v>114</v>
      </c>
      <c r="AW8" s="324" t="s">
        <v>198</v>
      </c>
      <c r="AX8" s="113" t="s">
        <v>114</v>
      </c>
      <c r="BA8" s="3" t="s">
        <v>199</v>
      </c>
      <c r="BE8" s="113" t="s">
        <v>114</v>
      </c>
      <c r="BF8" s="113" t="s">
        <v>114</v>
      </c>
      <c r="BG8" s="324" t="s">
        <v>198</v>
      </c>
      <c r="BH8" s="113" t="s">
        <v>114</v>
      </c>
      <c r="BK8" s="3" t="s">
        <v>200</v>
      </c>
      <c r="BL8" s="3" t="s">
        <v>128</v>
      </c>
      <c r="BO8" s="3" t="s">
        <v>200</v>
      </c>
      <c r="BP8" s="3" t="s">
        <v>128</v>
      </c>
      <c r="BS8" s="3" t="s">
        <v>114</v>
      </c>
      <c r="BT8" s="3" t="s">
        <v>114</v>
      </c>
      <c r="BU8" s="3" t="s">
        <v>198</v>
      </c>
      <c r="BV8" s="3" t="s">
        <v>114</v>
      </c>
      <c r="BY8" s="3" t="s">
        <v>114</v>
      </c>
      <c r="BZ8" s="3" t="s">
        <v>114</v>
      </c>
      <c r="CA8" s="3" t="s">
        <v>198</v>
      </c>
      <c r="CB8" s="3" t="s">
        <v>114</v>
      </c>
      <c r="CE8" s="3" t="s">
        <v>114</v>
      </c>
      <c r="CF8" s="3" t="s">
        <v>114</v>
      </c>
      <c r="CG8" s="3" t="s">
        <v>198</v>
      </c>
      <c r="CH8" s="3" t="s">
        <v>114</v>
      </c>
    </row>
    <row r="9" spans="1:87" ht="13.5" thickBot="1">
      <c r="A9" s="8" t="s">
        <v>1</v>
      </c>
      <c r="B9" s="9" t="s">
        <v>105</v>
      </c>
      <c r="C9" s="9" t="s">
        <v>161</v>
      </c>
      <c r="D9" s="9" t="s">
        <v>168</v>
      </c>
      <c r="E9" s="9" t="s">
        <v>184</v>
      </c>
      <c r="F9" s="9" t="s">
        <v>194</v>
      </c>
      <c r="G9" s="9" t="s">
        <v>208</v>
      </c>
      <c r="H9" s="9" t="s">
        <v>243</v>
      </c>
      <c r="I9" s="9" t="s">
        <v>256</v>
      </c>
      <c r="J9" s="9" t="s">
        <v>269</v>
      </c>
      <c r="K9" s="9" t="s">
        <v>284</v>
      </c>
      <c r="L9" s="9" t="s">
        <v>84</v>
      </c>
      <c r="M9" s="9" t="s">
        <v>84</v>
      </c>
      <c r="N9" s="10" t="s">
        <v>51</v>
      </c>
      <c r="O9" s="9" t="s">
        <v>35</v>
      </c>
      <c r="P9" s="9" t="s">
        <v>31</v>
      </c>
      <c r="Q9" s="9" t="s">
        <v>64</v>
      </c>
      <c r="R9" s="9" t="s">
        <v>32</v>
      </c>
      <c r="S9" s="9" t="s">
        <v>72</v>
      </c>
      <c r="T9" s="9" t="s">
        <v>67</v>
      </c>
      <c r="U9" s="8" t="s">
        <v>68</v>
      </c>
      <c r="V9" s="8" t="s">
        <v>69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3"/>
      <c r="AE9" s="189" t="s">
        <v>112</v>
      </c>
      <c r="AF9" s="189" t="s">
        <v>110</v>
      </c>
      <c r="AG9" s="189" t="s">
        <v>115</v>
      </c>
      <c r="AH9" s="189"/>
      <c r="AI9" s="188" t="s">
        <v>190</v>
      </c>
      <c r="AK9" s="189" t="s">
        <v>112</v>
      </c>
      <c r="AL9" s="189" t="s">
        <v>110</v>
      </c>
      <c r="AM9" s="325"/>
      <c r="AN9" s="189"/>
      <c r="AO9" s="188" t="s">
        <v>190</v>
      </c>
      <c r="AQ9" s="3" t="s">
        <v>200</v>
      </c>
      <c r="AR9" s="3" t="s">
        <v>128</v>
      </c>
      <c r="AU9" s="189" t="s">
        <v>112</v>
      </c>
      <c r="AV9" s="189" t="s">
        <v>110</v>
      </c>
      <c r="AW9" s="325"/>
      <c r="AX9" s="189"/>
      <c r="AY9" s="188" t="s">
        <v>190</v>
      </c>
      <c r="BA9" s="3" t="s">
        <v>200</v>
      </c>
      <c r="BB9" s="3" t="s">
        <v>128</v>
      </c>
      <c r="BE9" s="189" t="s">
        <v>112</v>
      </c>
      <c r="BF9" s="189" t="s">
        <v>110</v>
      </c>
      <c r="BG9" s="325"/>
      <c r="BH9" s="189"/>
      <c r="BI9" s="188" t="s">
        <v>190</v>
      </c>
      <c r="BK9" s="20" t="s">
        <v>248</v>
      </c>
      <c r="BL9" s="20" t="s">
        <v>249</v>
      </c>
      <c r="BO9" s="20" t="s">
        <v>248</v>
      </c>
      <c r="BP9" s="20" t="s">
        <v>249</v>
      </c>
      <c r="BS9" s="3" t="s">
        <v>112</v>
      </c>
      <c r="BT9" s="3" t="s">
        <v>110</v>
      </c>
      <c r="BW9" s="3" t="s">
        <v>190</v>
      </c>
      <c r="BY9" s="3" t="s">
        <v>112</v>
      </c>
      <c r="BZ9" s="3" t="s">
        <v>110</v>
      </c>
      <c r="CC9" s="3" t="s">
        <v>190</v>
      </c>
      <c r="CE9" s="3" t="s">
        <v>112</v>
      </c>
      <c r="CF9" s="3" t="s">
        <v>110</v>
      </c>
      <c r="CI9" s="3" t="s">
        <v>190</v>
      </c>
    </row>
    <row r="10" spans="1:87" ht="13.5" thickTop="1">
      <c r="A10" s="7" t="s">
        <v>5</v>
      </c>
      <c r="B10" s="11">
        <f>SUM(B12:B43)</f>
        <v>671779</v>
      </c>
      <c r="C10" s="11">
        <f>SUM(C12:C43)</f>
        <v>719684</v>
      </c>
      <c r="D10" s="11">
        <f>SUM(D12:D43)</f>
        <v>771606</v>
      </c>
      <c r="E10" s="11">
        <f>SUM(E12:E43)</f>
        <v>781598</v>
      </c>
      <c r="F10" s="11">
        <f aca="true" t="shared" si="0" ref="F10:K10">SUM(F12:F39)</f>
        <v>835434</v>
      </c>
      <c r="G10" s="11">
        <f t="shared" si="0"/>
        <v>900461.1051699999</v>
      </c>
      <c r="H10" s="11">
        <f t="shared" si="0"/>
        <v>1001010.0782000001</v>
      </c>
      <c r="I10" s="11">
        <f t="shared" si="0"/>
        <v>1109090.4413200004</v>
      </c>
      <c r="J10" s="11">
        <f t="shared" si="0"/>
        <v>1153310.7696300002</v>
      </c>
      <c r="K10" s="11">
        <f t="shared" si="0"/>
        <v>1224290.4931899996</v>
      </c>
      <c r="L10" s="246">
        <f>(K10-J10)*100/J10</f>
        <v>6.154431696044142</v>
      </c>
      <c r="M10" s="48">
        <f>(K10-AC10)*100/AC10</f>
        <v>103.8259055847366</v>
      </c>
      <c r="N10" s="13">
        <f>SUM(Q12:Q43)</f>
        <v>248755</v>
      </c>
      <c r="O10" s="11">
        <f>SUM(R12:R43)</f>
        <v>277909</v>
      </c>
      <c r="P10" s="11">
        <f>SUM(S12:S43)</f>
        <v>307575</v>
      </c>
      <c r="Q10" s="11">
        <f>SUM(Q12:Q39)</f>
        <v>248755</v>
      </c>
      <c r="R10" s="11">
        <f>SUM(R12:R39)</f>
        <v>277909</v>
      </c>
      <c r="S10" s="11">
        <f>SUM(S12:S39)</f>
        <v>307575</v>
      </c>
      <c r="T10" s="11">
        <f>SUM(T12:T39)</f>
        <v>339623</v>
      </c>
      <c r="U10" s="11">
        <f>SUM(W12:W43)</f>
        <v>392840</v>
      </c>
      <c r="V10" s="11">
        <v>376915</v>
      </c>
      <c r="W10" s="11">
        <v>392840</v>
      </c>
      <c r="X10" s="11">
        <v>429711</v>
      </c>
      <c r="Y10" s="11">
        <f>SUM(Y12:Y43)</f>
        <v>455042</v>
      </c>
      <c r="Z10" s="11">
        <f>SUM(Z12:Z43)</f>
        <v>497836</v>
      </c>
      <c r="AA10" s="11">
        <f>SUM(AA12:AA43)</f>
        <v>526342</v>
      </c>
      <c r="AB10" s="11">
        <f>SUM(AB12:AB43)</f>
        <v>567346</v>
      </c>
      <c r="AC10" s="11">
        <f>SUM(AC12:AC43)</f>
        <v>600655</v>
      </c>
      <c r="AD10" s="11"/>
      <c r="AE10" s="11">
        <f>SUM(AE12:AE43)</f>
        <v>997381235.5500001</v>
      </c>
      <c r="AF10" s="11">
        <f>SUM(AF12:AF43)</f>
        <v>2783147.85</v>
      </c>
      <c r="AG10" s="11">
        <f>SUM(AG12:AG43)</f>
        <v>213000796.39999998</v>
      </c>
      <c r="AH10" s="11">
        <f>SUM(AH12:AH39)</f>
        <v>781597291.2999998</v>
      </c>
      <c r="AI10" s="11">
        <f>SUM(AI12:AI39)</f>
        <v>781597.2913</v>
      </c>
      <c r="AK10" s="11">
        <f>SUM(AK12:AK43)</f>
        <v>1055050629.94</v>
      </c>
      <c r="AL10" s="11">
        <f>SUM(AL12:AL43)</f>
        <v>3532912.7699999996</v>
      </c>
      <c r="AM10" s="11">
        <f>SUM(AM12:AM43)</f>
        <v>216085889</v>
      </c>
      <c r="AN10" s="11">
        <f>SUM(AN12:AN39)</f>
        <v>835431828.1699998</v>
      </c>
      <c r="AO10" s="11">
        <f>SUM(AO12:AO39)</f>
        <v>835431.8281700001</v>
      </c>
      <c r="AQ10" s="3">
        <v>211618317</v>
      </c>
      <c r="AR10" s="3">
        <v>4467572.5</v>
      </c>
      <c r="AS10" s="11">
        <f>SUM(AS12:AS43)</f>
        <v>216085889.01999998</v>
      </c>
      <c r="AU10" s="11">
        <f>SUM(AU12:AU43)</f>
        <v>1138655990.2500002</v>
      </c>
      <c r="AV10" s="11">
        <f>SUM(AV12:AV43)</f>
        <v>5238188</v>
      </c>
      <c r="AW10" s="11">
        <f>SUM(AW12:AW43)</f>
        <v>232956697.07999995</v>
      </c>
      <c r="AX10" s="11">
        <f>SUM(AX12:AX39)</f>
        <v>900461105.1699998</v>
      </c>
      <c r="AY10" s="11">
        <f>SUM(AY12:AY39)</f>
        <v>900461.1051699999</v>
      </c>
      <c r="BA10" s="11">
        <f>SUM(BA12:BA43)</f>
        <v>217777559.76999995</v>
      </c>
      <c r="BB10" s="11">
        <f>SUM(BB12:BB43)</f>
        <v>15179137.31</v>
      </c>
      <c r="BC10" s="11">
        <f>SUM(BC12:BC43)</f>
        <v>232956697.07999995</v>
      </c>
      <c r="BE10" s="11">
        <f>SUM(BE12:BE43)</f>
        <v>1241478105.13</v>
      </c>
      <c r="BF10" s="11">
        <f>SUM(BF12:BF43)</f>
        <v>5594305.8</v>
      </c>
      <c r="BG10" s="11">
        <f>SUM(BG12:BG43)</f>
        <v>234873721.13</v>
      </c>
      <c r="BH10" s="11">
        <f>SUM(BH12:BH39)</f>
        <v>1001010078.1999999</v>
      </c>
      <c r="BI10" s="11">
        <f>SUM(BI12:BI39)</f>
        <v>1001010.0782000001</v>
      </c>
      <c r="BK10" s="11">
        <f>SUM(BK12:BK43)</f>
        <v>224119104.06</v>
      </c>
      <c r="BL10" s="11">
        <f>SUM(BL12:BL43)</f>
        <v>10754617.07</v>
      </c>
      <c r="BM10" s="11">
        <f>SUM(BM12:BM43)</f>
        <v>234873721.13</v>
      </c>
      <c r="BO10" s="11">
        <f>SUM(BO12:BO43)</f>
        <v>240430195.45999995</v>
      </c>
      <c r="BP10" s="11">
        <f>SUM(BP12:BP43)</f>
        <v>9901316.18</v>
      </c>
      <c r="BQ10" s="11">
        <f>SUM(BQ12:BQ43)</f>
        <v>250331511.63999996</v>
      </c>
      <c r="BR10" s="11"/>
      <c r="BS10" s="11">
        <f>SUM(BS12:BS43)</f>
        <v>1354233049.0900002</v>
      </c>
      <c r="BT10" s="11">
        <f>SUM(BT12:BT43)</f>
        <v>4712412.3100000005</v>
      </c>
      <c r="BU10" s="11">
        <f>SUM(BU12:BU43)</f>
        <v>240430195.45999995</v>
      </c>
      <c r="BV10" s="11">
        <f>SUM(BV12:BV43)</f>
        <v>1109090441.3200002</v>
      </c>
      <c r="BW10" s="11">
        <f>SUM(BW12:BW43)</f>
        <v>1109090.4413200004</v>
      </c>
      <c r="BY10" s="11">
        <f>SUM(BY12:BY43)</f>
        <v>1424417207.0800002</v>
      </c>
      <c r="BZ10" s="11">
        <f>SUM(BZ12:BZ43)</f>
        <v>2562522.9699999997</v>
      </c>
      <c r="CA10" s="11">
        <f>SUM(CA12:CA43)</f>
        <v>268543914.47999996</v>
      </c>
      <c r="CB10" s="11">
        <f>SUM(CB12:CB43)</f>
        <v>1153310769.63</v>
      </c>
      <c r="CC10" s="11">
        <f>SUM(CC12:CC43)</f>
        <v>1153310.7696300002</v>
      </c>
      <c r="CE10" s="11">
        <f>SUM(CE12:CE39)</f>
        <v>1495579545.9299998</v>
      </c>
      <c r="CF10" s="11">
        <f>SUM(CF12:CF39)</f>
        <v>10061423.499999994</v>
      </c>
      <c r="CG10" s="11">
        <f>SUM(CG12:CG39)</f>
        <v>261227629.23999995</v>
      </c>
      <c r="CH10" s="11">
        <f>SUM(CH12:CH39)</f>
        <v>1224290493.19</v>
      </c>
      <c r="CI10" s="11">
        <f>SUM(CI12:CI39)</f>
        <v>1224290.4931899996</v>
      </c>
    </row>
    <row r="11" spans="12:30" ht="12.75">
      <c r="L11" s="15"/>
      <c r="M11" s="14"/>
      <c r="O11" s="14"/>
      <c r="R11" s="14"/>
      <c r="S11" s="14"/>
      <c r="Y11" s="14"/>
      <c r="Z11" s="14"/>
      <c r="AA11" s="14"/>
      <c r="AB11" s="14"/>
      <c r="AD11" s="14"/>
    </row>
    <row r="12" spans="1:87" ht="12.75">
      <c r="A12" s="1" t="s">
        <v>6</v>
      </c>
      <c r="B12" s="1">
        <v>7928</v>
      </c>
      <c r="C12" s="1">
        <v>8639</v>
      </c>
      <c r="D12" s="1">
        <v>8538</v>
      </c>
      <c r="E12" s="1">
        <v>9067</v>
      </c>
      <c r="F12" s="1">
        <v>10183</v>
      </c>
      <c r="G12" s="1">
        <v>10545.763649999999</v>
      </c>
      <c r="H12" s="1">
        <v>11585.625800000002</v>
      </c>
      <c r="I12" s="1">
        <v>14700.497190000002</v>
      </c>
      <c r="J12" s="1">
        <v>12555.61124</v>
      </c>
      <c r="K12" s="1">
        <v>13758.522010000002</v>
      </c>
      <c r="L12" s="246">
        <f>(K12-J12)*100/J12</f>
        <v>9.580662757124378</v>
      </c>
      <c r="M12" s="48">
        <f>(K12-AC12)*100/AC12</f>
        <v>83.937460026738</v>
      </c>
      <c r="N12" s="14">
        <v>2090</v>
      </c>
      <c r="O12" s="14">
        <v>2233</v>
      </c>
      <c r="P12" s="14">
        <v>2386</v>
      </c>
      <c r="Q12" s="14">
        <v>2596</v>
      </c>
      <c r="R12" s="14">
        <v>2860</v>
      </c>
      <c r="S12" s="14">
        <v>2958</v>
      </c>
      <c r="T12" s="14">
        <v>3194</v>
      </c>
      <c r="U12" s="14">
        <v>3554</v>
      </c>
      <c r="V12" s="14">
        <v>3826</v>
      </c>
      <c r="W12" s="14">
        <v>4123</v>
      </c>
      <c r="X12" s="14">
        <v>4517</v>
      </c>
      <c r="Y12" s="14">
        <v>5087</v>
      </c>
      <c r="Z12" s="14">
        <v>5261</v>
      </c>
      <c r="AA12" s="14">
        <v>5960</v>
      </c>
      <c r="AB12" s="14">
        <v>7004</v>
      </c>
      <c r="AC12" s="1">
        <v>7480</v>
      </c>
      <c r="AD12" s="14"/>
      <c r="AE12" s="3">
        <v>10918175</v>
      </c>
      <c r="AF12" s="3">
        <v>79529.93</v>
      </c>
      <c r="AG12" s="156">
        <v>1771864.05</v>
      </c>
      <c r="AH12" s="3">
        <f>AE12-AF12-AG12</f>
        <v>9066781.02</v>
      </c>
      <c r="AI12" s="3">
        <f>AH12/1000</f>
        <v>9066.78102</v>
      </c>
      <c r="AK12" s="3">
        <v>12129099</v>
      </c>
      <c r="AL12" s="92">
        <v>36951</v>
      </c>
      <c r="AM12" s="156">
        <v>1909245</v>
      </c>
      <c r="AN12" s="3">
        <f>AK12-AL12-AM12</f>
        <v>10182903</v>
      </c>
      <c r="AO12" s="3">
        <f>AN12/1000</f>
        <v>10182.903</v>
      </c>
      <c r="AR12" s="3">
        <v>1909245</v>
      </c>
      <c r="AS12" s="3">
        <f>SUM(AQ12:AR12)</f>
        <v>1909245</v>
      </c>
      <c r="AU12" s="3">
        <v>13147433.809999999</v>
      </c>
      <c r="AV12" s="92">
        <v>76250.54</v>
      </c>
      <c r="AW12" s="156">
        <v>2525419.62</v>
      </c>
      <c r="AX12" s="3">
        <f>AU12-AV12-AW12</f>
        <v>10545763.649999999</v>
      </c>
      <c r="AY12" s="3">
        <f>AX12/1000</f>
        <v>10545.763649999999</v>
      </c>
      <c r="BA12" s="247">
        <v>0</v>
      </c>
      <c r="BB12" s="3">
        <v>2525419.62</v>
      </c>
      <c r="BC12" s="3">
        <f>SUM(BA12:BB12)</f>
        <v>2525419.62</v>
      </c>
      <c r="BE12" s="3">
        <v>13949505.99</v>
      </c>
      <c r="BF12" s="92">
        <v>78012.79</v>
      </c>
      <c r="BG12" s="156">
        <f>BM12</f>
        <v>2285867.4</v>
      </c>
      <c r="BH12" s="3">
        <f>BE12-BF12-BG12</f>
        <v>11585625.8</v>
      </c>
      <c r="BI12" s="3">
        <f>BH12/1000</f>
        <v>11585.625800000002</v>
      </c>
      <c r="BK12" s="247">
        <v>0</v>
      </c>
      <c r="BL12" s="3">
        <v>2285867.4</v>
      </c>
      <c r="BM12" s="3">
        <f>SUM(BK12:BL12)</f>
        <v>2285867.4</v>
      </c>
      <c r="BO12" s="247">
        <v>0</v>
      </c>
      <c r="BP12" s="3">
        <v>2183034.27</v>
      </c>
      <c r="BQ12" s="3">
        <f>SUM(BO12:BP12)</f>
        <v>2183034.27</v>
      </c>
      <c r="BS12" s="3">
        <v>14734351.97</v>
      </c>
      <c r="BT12" s="3">
        <v>33854.78</v>
      </c>
      <c r="BU12" s="3">
        <v>0</v>
      </c>
      <c r="BV12" s="3">
        <f>BS12-BT12-BU12</f>
        <v>14700497.190000001</v>
      </c>
      <c r="BW12" s="3">
        <f>BV12/1000</f>
        <v>14700.497190000002</v>
      </c>
      <c r="BY12" s="3">
        <v>15343694.770000001</v>
      </c>
      <c r="BZ12" s="3">
        <v>25829.06</v>
      </c>
      <c r="CA12" s="3">
        <v>2762254.47</v>
      </c>
      <c r="CB12" s="3">
        <f>BY12-BZ12-CA12</f>
        <v>12555611.24</v>
      </c>
      <c r="CC12" s="3">
        <f>CB12/1000</f>
        <v>12555.61124</v>
      </c>
      <c r="CE12" s="3">
        <v>16829781.1</v>
      </c>
      <c r="CF12" s="3">
        <v>132277.41</v>
      </c>
      <c r="CG12" s="3">
        <v>2938981.68</v>
      </c>
      <c r="CH12" s="3">
        <f>CE12-CF12-CG12</f>
        <v>13758522.010000002</v>
      </c>
      <c r="CI12" s="3">
        <f>CH12/1000</f>
        <v>13758.522010000002</v>
      </c>
    </row>
    <row r="13" spans="1:87" ht="12.75">
      <c r="A13" s="1" t="s">
        <v>7</v>
      </c>
      <c r="B13" s="1">
        <v>56132</v>
      </c>
      <c r="C13" s="1">
        <v>56169</v>
      </c>
      <c r="D13" s="1">
        <v>59347</v>
      </c>
      <c r="E13" s="1">
        <v>59432</v>
      </c>
      <c r="F13" s="1">
        <v>64155</v>
      </c>
      <c r="G13" s="1">
        <v>67517.28245</v>
      </c>
      <c r="H13" s="1">
        <v>74098.95573</v>
      </c>
      <c r="I13" s="1">
        <v>83744.49565</v>
      </c>
      <c r="J13" s="1">
        <v>90685.23426</v>
      </c>
      <c r="K13" s="1">
        <v>95712.13433999998</v>
      </c>
      <c r="L13" s="246">
        <f>(K13-J13)*100/J13</f>
        <v>5.543239890176117</v>
      </c>
      <c r="M13" s="48">
        <f>(K13-AC13)*100/AC13</f>
        <v>90.49844623131575</v>
      </c>
      <c r="N13" s="14">
        <v>16227</v>
      </c>
      <c r="O13" s="14">
        <v>16022</v>
      </c>
      <c r="P13" s="14">
        <v>17631</v>
      </c>
      <c r="Q13" s="14">
        <v>19079</v>
      </c>
      <c r="R13" s="14">
        <v>21546</v>
      </c>
      <c r="S13" s="14">
        <v>24252</v>
      </c>
      <c r="T13" s="14">
        <v>27103</v>
      </c>
      <c r="U13" s="14">
        <v>27487</v>
      </c>
      <c r="V13" s="14">
        <v>29985</v>
      </c>
      <c r="W13" s="14">
        <v>31701</v>
      </c>
      <c r="X13" s="14">
        <v>34353</v>
      </c>
      <c r="Y13" s="14">
        <v>35084</v>
      </c>
      <c r="Z13" s="14">
        <v>37363</v>
      </c>
      <c r="AA13" s="14">
        <v>37754</v>
      </c>
      <c r="AB13" s="14">
        <v>43597</v>
      </c>
      <c r="AC13" s="1">
        <v>50243</v>
      </c>
      <c r="AD13" s="14"/>
      <c r="AE13" s="3">
        <v>76501217</v>
      </c>
      <c r="AF13" s="3">
        <v>430093.88</v>
      </c>
      <c r="AG13" s="92">
        <v>16638996</v>
      </c>
      <c r="AH13" s="3">
        <f>AE13-AF13-AG13</f>
        <v>59432127.120000005</v>
      </c>
      <c r="AI13" s="3">
        <f>AH13/1000</f>
        <v>59432.127120000005</v>
      </c>
      <c r="AK13" s="3">
        <v>81677432</v>
      </c>
      <c r="AL13" s="92">
        <v>233492.33</v>
      </c>
      <c r="AM13" s="92">
        <v>17288927</v>
      </c>
      <c r="AN13" s="3">
        <f>AK13-AL13-AM13</f>
        <v>64155012.67</v>
      </c>
      <c r="AO13" s="3">
        <f>AN13/1000</f>
        <v>64155.012670000004</v>
      </c>
      <c r="AQ13" s="3">
        <v>17288927</v>
      </c>
      <c r="AR13" s="3">
        <v>0</v>
      </c>
      <c r="AS13" s="3">
        <f>SUM(AQ13:AR13)</f>
        <v>17288927</v>
      </c>
      <c r="AU13" s="3">
        <v>86085852.28</v>
      </c>
      <c r="AV13" s="92">
        <v>343272</v>
      </c>
      <c r="AW13" s="92">
        <v>18225297.83</v>
      </c>
      <c r="AX13" s="3">
        <f>AU13-AV13-AW13</f>
        <v>67517282.45</v>
      </c>
      <c r="AY13" s="3">
        <f>AX13/1000</f>
        <v>67517.28245</v>
      </c>
      <c r="BA13" s="247">
        <v>18225297.83</v>
      </c>
      <c r="BB13" s="3">
        <v>0</v>
      </c>
      <c r="BC13" s="3">
        <f>SUM(BA13:BB13)</f>
        <v>18225297.83</v>
      </c>
      <c r="BE13" s="3">
        <v>93109336.5</v>
      </c>
      <c r="BF13" s="92">
        <v>593564</v>
      </c>
      <c r="BG13" s="156">
        <f>BM13</f>
        <v>18416816.77</v>
      </c>
      <c r="BH13" s="3">
        <f>BE13-BF13-BG13</f>
        <v>74098955.73</v>
      </c>
      <c r="BI13" s="3">
        <f>BH13/1000</f>
        <v>74098.95573</v>
      </c>
      <c r="BK13" s="247">
        <v>18416816.77</v>
      </c>
      <c r="BM13" s="3">
        <f>SUM(BK13:BL13)</f>
        <v>18416816.77</v>
      </c>
      <c r="BO13" s="247">
        <v>20646145.470000003</v>
      </c>
      <c r="BP13" s="3">
        <v>199392</v>
      </c>
      <c r="BQ13" s="3">
        <f>SUM(BO13:BP13)</f>
        <v>20845537.470000003</v>
      </c>
      <c r="BS13" s="3">
        <v>104781010.11999999</v>
      </c>
      <c r="BT13" s="3">
        <v>390369</v>
      </c>
      <c r="BU13" s="3">
        <v>20646145.470000003</v>
      </c>
      <c r="BV13" s="3">
        <f>BS13-BT13-BU13</f>
        <v>83744495.64999999</v>
      </c>
      <c r="BW13" s="3">
        <f>BV13/1000</f>
        <v>83744.49565</v>
      </c>
      <c r="BY13" s="3">
        <v>112206519.77</v>
      </c>
      <c r="BZ13" s="3">
        <v>507981</v>
      </c>
      <c r="CA13" s="3">
        <v>21013304.51</v>
      </c>
      <c r="CB13" s="3">
        <f>BY13-BZ13-CA13</f>
        <v>90685234.25999999</v>
      </c>
      <c r="CC13" s="3">
        <f>CB13/1000</f>
        <v>90685.23426</v>
      </c>
      <c r="CE13" s="3">
        <v>118720711.30999997</v>
      </c>
      <c r="CF13" s="3">
        <v>2844558.0300000003</v>
      </c>
      <c r="CG13" s="3">
        <v>20164018.94</v>
      </c>
      <c r="CH13" s="3">
        <f>CE13-CF13-CG13</f>
        <v>95712134.33999997</v>
      </c>
      <c r="CI13" s="3">
        <f>CH13/1000</f>
        <v>95712.13433999998</v>
      </c>
    </row>
    <row r="14" spans="1:87" ht="12.75">
      <c r="A14" s="1" t="s">
        <v>8</v>
      </c>
      <c r="B14" s="1">
        <v>130572</v>
      </c>
      <c r="C14" s="1">
        <v>130794</v>
      </c>
      <c r="D14" s="1">
        <v>140272</v>
      </c>
      <c r="E14" s="1">
        <v>123243</v>
      </c>
      <c r="F14" s="1">
        <v>120955</v>
      </c>
      <c r="G14" s="1">
        <v>126247.17480000001</v>
      </c>
      <c r="H14" s="1">
        <v>141375.85492</v>
      </c>
      <c r="I14" s="1">
        <v>150981.43181</v>
      </c>
      <c r="J14" s="1">
        <v>151883.58922</v>
      </c>
      <c r="K14" s="1">
        <v>160083.95106999998</v>
      </c>
      <c r="L14" s="246">
        <f>(K14-J14)*100/J14</f>
        <v>5.399109865728775</v>
      </c>
      <c r="M14" s="48">
        <f>(K14-AC14)*100/AC14</f>
        <v>56.074399740662365</v>
      </c>
      <c r="N14" s="14">
        <v>38171</v>
      </c>
      <c r="O14" s="14">
        <v>44015</v>
      </c>
      <c r="P14" s="14">
        <v>47542</v>
      </c>
      <c r="Q14" s="14">
        <v>53409</v>
      </c>
      <c r="R14" s="14">
        <v>57414</v>
      </c>
      <c r="S14" s="14">
        <v>63820</v>
      </c>
      <c r="T14" s="14">
        <v>69995</v>
      </c>
      <c r="U14" s="14">
        <v>70795</v>
      </c>
      <c r="V14" s="14">
        <v>73123</v>
      </c>
      <c r="W14" s="14">
        <v>73827</v>
      </c>
      <c r="X14" s="14">
        <v>84522</v>
      </c>
      <c r="Y14" s="14">
        <v>92733</v>
      </c>
      <c r="Z14" s="14">
        <v>108011</v>
      </c>
      <c r="AA14" s="14">
        <v>109129</v>
      </c>
      <c r="AB14" s="14">
        <v>117956</v>
      </c>
      <c r="AC14" s="1">
        <v>102569</v>
      </c>
      <c r="AD14" s="14"/>
      <c r="AE14" s="3">
        <v>174468566</v>
      </c>
      <c r="AF14" s="3">
        <v>336812.84</v>
      </c>
      <c r="AG14" s="92">
        <v>50888720</v>
      </c>
      <c r="AH14" s="3">
        <f>AE14-AF14-AG14</f>
        <v>123243033.16</v>
      </c>
      <c r="AI14" s="3">
        <f>AH14/1000</f>
        <v>123243.03315999999</v>
      </c>
      <c r="AK14" s="3">
        <v>169918049</v>
      </c>
      <c r="AL14" s="92">
        <v>519693.92</v>
      </c>
      <c r="AM14" s="92">
        <v>48443624</v>
      </c>
      <c r="AN14" s="3">
        <f>AK14-AL14-AM14</f>
        <v>120954731.08000001</v>
      </c>
      <c r="AO14" s="3">
        <f>AN14/1000</f>
        <v>120954.73108000001</v>
      </c>
      <c r="AQ14" s="3">
        <v>46415767</v>
      </c>
      <c r="AR14" s="3">
        <v>2027857</v>
      </c>
      <c r="AS14" s="3">
        <f>SUM(AQ14:AR14)</f>
        <v>48443624</v>
      </c>
      <c r="AU14" s="3">
        <v>177693257.09</v>
      </c>
      <c r="AV14" s="92">
        <v>735826.45</v>
      </c>
      <c r="AW14" s="92">
        <v>50710255.839999996</v>
      </c>
      <c r="AX14" s="3">
        <f>AU14-AV14-AW14</f>
        <v>126247174.80000001</v>
      </c>
      <c r="AY14" s="3">
        <f>AX14/1000</f>
        <v>126247.17480000001</v>
      </c>
      <c r="BA14" s="247">
        <v>48767177.44</v>
      </c>
      <c r="BB14" s="3">
        <v>1943078.4</v>
      </c>
      <c r="BC14" s="3">
        <f>SUM(BA14:BB14)</f>
        <v>50710255.839999996</v>
      </c>
      <c r="BE14" s="3">
        <v>192949262.58000004</v>
      </c>
      <c r="BF14" s="92">
        <v>1198802.8</v>
      </c>
      <c r="BG14" s="156">
        <f>BM14</f>
        <v>50374604.86</v>
      </c>
      <c r="BH14" s="3">
        <f>BE14-BF14-BG14</f>
        <v>141375854.92000002</v>
      </c>
      <c r="BI14" s="3">
        <f>BH14/1000</f>
        <v>141375.85492</v>
      </c>
      <c r="BK14" s="247">
        <v>48788646.46</v>
      </c>
      <c r="BL14" s="3">
        <v>1585958.4</v>
      </c>
      <c r="BM14" s="3">
        <f>SUM(BK14:BL14)</f>
        <v>50374604.86</v>
      </c>
      <c r="BO14" s="247">
        <v>52274219.95</v>
      </c>
      <c r="BP14" s="3">
        <v>1593204</v>
      </c>
      <c r="BQ14" s="3">
        <f>SUM(BO14:BP14)</f>
        <v>53867423.95</v>
      </c>
      <c r="BS14" s="3">
        <v>203647972.56</v>
      </c>
      <c r="BT14" s="3">
        <v>392320.8</v>
      </c>
      <c r="BU14" s="3">
        <v>52274219.95</v>
      </c>
      <c r="BV14" s="3">
        <f>BS14-BT14-BU14</f>
        <v>150981431.81</v>
      </c>
      <c r="BW14" s="3">
        <f>BV14/1000</f>
        <v>150981.43181</v>
      </c>
      <c r="BY14" s="3">
        <v>213569654.2</v>
      </c>
      <c r="BZ14" s="3">
        <v>292851.31999999995</v>
      </c>
      <c r="CA14" s="3">
        <v>61393213.66</v>
      </c>
      <c r="CB14" s="3">
        <f>BY14-BZ14-CA14</f>
        <v>151883589.22</v>
      </c>
      <c r="CC14" s="3">
        <f>CB14/1000</f>
        <v>151883.58922</v>
      </c>
      <c r="CE14" s="3">
        <v>224360664.25</v>
      </c>
      <c r="CF14" s="3">
        <v>1557049.33</v>
      </c>
      <c r="CG14" s="3">
        <v>62719663.849999994</v>
      </c>
      <c r="CH14" s="3">
        <f>CE14-CF14-CG14</f>
        <v>160083951.07</v>
      </c>
      <c r="CI14" s="3">
        <f>CH14/1000</f>
        <v>160083.95106999998</v>
      </c>
    </row>
    <row r="15" spans="1:87" ht="12.75">
      <c r="A15" s="1" t="s">
        <v>9</v>
      </c>
      <c r="B15" s="1">
        <v>78520</v>
      </c>
      <c r="C15" s="1">
        <v>86267</v>
      </c>
      <c r="D15" s="1">
        <v>91097</v>
      </c>
      <c r="E15" s="1">
        <v>94277</v>
      </c>
      <c r="F15" s="1">
        <v>102359</v>
      </c>
      <c r="G15" s="1">
        <v>111157.16015999997</v>
      </c>
      <c r="H15" s="1">
        <v>118907.16224</v>
      </c>
      <c r="I15" s="1">
        <v>127506.57672999999</v>
      </c>
      <c r="J15" s="1">
        <v>131055.96985000002</v>
      </c>
      <c r="K15" s="1">
        <v>142922.03016</v>
      </c>
      <c r="L15" s="246">
        <f>(K15-J15)*100/J15</f>
        <v>9.054192894517708</v>
      </c>
      <c r="M15" s="48">
        <f>(K15-AC15)*100/AC15</f>
        <v>94.32747788488993</v>
      </c>
      <c r="N15" s="14">
        <v>25379</v>
      </c>
      <c r="O15" s="14">
        <v>24852</v>
      </c>
      <c r="P15" s="14">
        <v>27548</v>
      </c>
      <c r="Q15" s="14">
        <v>29383</v>
      </c>
      <c r="R15" s="14">
        <v>34631</v>
      </c>
      <c r="S15" s="14">
        <v>37668</v>
      </c>
      <c r="T15" s="14">
        <v>40558</v>
      </c>
      <c r="U15" s="14">
        <v>41223</v>
      </c>
      <c r="V15" s="14">
        <v>50368</v>
      </c>
      <c r="W15" s="14">
        <v>45879</v>
      </c>
      <c r="X15" s="14">
        <v>48417</v>
      </c>
      <c r="Y15" s="14">
        <v>51920</v>
      </c>
      <c r="Z15" s="14">
        <v>63197</v>
      </c>
      <c r="AA15" s="14">
        <v>65269</v>
      </c>
      <c r="AB15" s="14">
        <v>60798</v>
      </c>
      <c r="AC15" s="1">
        <v>73547</v>
      </c>
      <c r="AD15" s="14"/>
      <c r="AE15" s="3">
        <v>122499790</v>
      </c>
      <c r="AF15" s="3">
        <v>365666.03</v>
      </c>
      <c r="AG15" s="92">
        <v>27857478</v>
      </c>
      <c r="AH15" s="3">
        <f>AE15-AF15-AG15</f>
        <v>94276645.97</v>
      </c>
      <c r="AI15" s="3">
        <f>AH15/1000</f>
        <v>94276.64597</v>
      </c>
      <c r="AK15" s="3">
        <v>132193628</v>
      </c>
      <c r="AL15" s="92">
        <v>450908.34</v>
      </c>
      <c r="AM15" s="92">
        <v>29384119</v>
      </c>
      <c r="AN15" s="3">
        <f>AK15-AL15-AM15</f>
        <v>102358600.66</v>
      </c>
      <c r="AO15" s="3">
        <f>AN15/1000</f>
        <v>102358.60066</v>
      </c>
      <c r="AQ15" s="3">
        <v>29384119</v>
      </c>
      <c r="AR15" s="3">
        <v>0</v>
      </c>
      <c r="AS15" s="3">
        <f>SUM(AQ15:AR15)</f>
        <v>29384119</v>
      </c>
      <c r="AU15" s="3">
        <v>142443850.76999998</v>
      </c>
      <c r="AV15" s="92">
        <v>448630.61</v>
      </c>
      <c r="AW15" s="92">
        <v>30838060</v>
      </c>
      <c r="AX15" s="3">
        <f>AU15-AV15-AW15</f>
        <v>111157160.15999997</v>
      </c>
      <c r="AY15" s="3">
        <f>AX15/1000</f>
        <v>111157.16015999997</v>
      </c>
      <c r="BA15" s="247">
        <v>29156789</v>
      </c>
      <c r="BB15" s="3">
        <v>1681271</v>
      </c>
      <c r="BC15" s="3">
        <f>SUM(BA15:BB15)</f>
        <v>30838060</v>
      </c>
      <c r="BE15" s="3">
        <v>149739785.18</v>
      </c>
      <c r="BF15" s="92">
        <v>745569.94</v>
      </c>
      <c r="BG15" s="156">
        <f>BM15</f>
        <v>30087053</v>
      </c>
      <c r="BH15" s="3">
        <f>BE15-BF15-BG15</f>
        <v>118907162.24000001</v>
      </c>
      <c r="BI15" s="3">
        <f>BH15/1000</f>
        <v>118907.16224</v>
      </c>
      <c r="BK15" s="247">
        <v>30087053</v>
      </c>
      <c r="BM15" s="3">
        <f>SUM(BK15:BL15)</f>
        <v>30087053</v>
      </c>
      <c r="BO15" s="247">
        <v>31853025</v>
      </c>
      <c r="BP15" s="3">
        <v>429728</v>
      </c>
      <c r="BQ15" s="3">
        <f>SUM(BO15:BP15)</f>
        <v>32282753</v>
      </c>
      <c r="BS15" s="3">
        <v>159991630.07999998</v>
      </c>
      <c r="BT15" s="3">
        <v>632028.35</v>
      </c>
      <c r="BU15" s="3">
        <v>31853025</v>
      </c>
      <c r="BV15" s="3">
        <f>BS15-BT15-BU15</f>
        <v>127506576.72999999</v>
      </c>
      <c r="BW15" s="3">
        <f>BV15/1000</f>
        <v>127506.57672999999</v>
      </c>
      <c r="BY15" s="3">
        <v>165876124.39000002</v>
      </c>
      <c r="BZ15" s="3">
        <v>562816.54</v>
      </c>
      <c r="CA15" s="3">
        <v>34257338</v>
      </c>
      <c r="CB15" s="3">
        <f>BY15-BZ15-CA15</f>
        <v>131055969.85000002</v>
      </c>
      <c r="CC15" s="3">
        <f>CB15/1000</f>
        <v>131055.96985000002</v>
      </c>
      <c r="CE15" s="3">
        <v>177549185.07999998</v>
      </c>
      <c r="CF15" s="3">
        <v>199355.13</v>
      </c>
      <c r="CG15" s="3">
        <v>34427799.79</v>
      </c>
      <c r="CH15" s="3">
        <f>CE15-CF15-CG15</f>
        <v>142922030.16</v>
      </c>
      <c r="CI15" s="3">
        <f>CH15/1000</f>
        <v>142922.03016</v>
      </c>
    </row>
    <row r="16" spans="1:87" ht="12.75">
      <c r="A16" s="1" t="s">
        <v>10</v>
      </c>
      <c r="B16" s="1">
        <v>10131</v>
      </c>
      <c r="C16" s="1">
        <v>11601</v>
      </c>
      <c r="D16" s="1">
        <v>13034</v>
      </c>
      <c r="E16" s="1">
        <v>14337</v>
      </c>
      <c r="F16" s="1">
        <v>15008</v>
      </c>
      <c r="G16" s="1">
        <v>16561.664160000008</v>
      </c>
      <c r="H16" s="1">
        <v>17690.93654</v>
      </c>
      <c r="I16" s="1">
        <v>21047.27381</v>
      </c>
      <c r="J16" s="1">
        <v>22283.171479999997</v>
      </c>
      <c r="K16" s="1">
        <v>23473.70066</v>
      </c>
      <c r="L16" s="246">
        <f>(K16-J16)*100/J16</f>
        <v>5.3427277219876315</v>
      </c>
      <c r="M16" s="48">
        <f>(K16-AC16)*100/AC16</f>
        <v>146.93562655165158</v>
      </c>
      <c r="N16" s="14">
        <v>2119</v>
      </c>
      <c r="O16" s="14">
        <v>2143</v>
      </c>
      <c r="P16" s="14">
        <v>2337</v>
      </c>
      <c r="Q16" s="14">
        <v>2490</v>
      </c>
      <c r="R16" s="14">
        <v>2718</v>
      </c>
      <c r="S16" s="14">
        <v>3302</v>
      </c>
      <c r="T16" s="14">
        <v>3735</v>
      </c>
      <c r="U16" s="14">
        <v>4502</v>
      </c>
      <c r="V16" s="14">
        <v>4623</v>
      </c>
      <c r="W16" s="14">
        <v>5316</v>
      </c>
      <c r="X16" s="14">
        <v>5757</v>
      </c>
      <c r="Y16" s="14">
        <v>6328</v>
      </c>
      <c r="Z16" s="14">
        <v>6759</v>
      </c>
      <c r="AA16" s="14">
        <v>7456</v>
      </c>
      <c r="AB16" s="14">
        <v>8460</v>
      </c>
      <c r="AC16" s="1">
        <v>9506</v>
      </c>
      <c r="AD16" s="14"/>
      <c r="AE16" s="3">
        <v>16649814</v>
      </c>
      <c r="AF16" s="3">
        <v>114754.43</v>
      </c>
      <c r="AG16" s="92">
        <v>2198223.53</v>
      </c>
      <c r="AH16" s="3">
        <f>AE16-AF16-AG16</f>
        <v>14336836.040000001</v>
      </c>
      <c r="AI16" s="3">
        <f>AH16/1000</f>
        <v>14336.83604</v>
      </c>
      <c r="AK16" s="3">
        <v>17422671</v>
      </c>
      <c r="AL16" s="92">
        <v>331912.92</v>
      </c>
      <c r="AM16" s="92">
        <v>2082749</v>
      </c>
      <c r="AN16" s="3">
        <f>AK16-AL16-AM16</f>
        <v>15008009.079999998</v>
      </c>
      <c r="AO16" s="3">
        <f>AN16/1000</f>
        <v>15008.009079999998</v>
      </c>
      <c r="AQ16" s="3">
        <v>2082749</v>
      </c>
      <c r="AR16" s="3">
        <v>0</v>
      </c>
      <c r="AS16" s="3">
        <f>SUM(AQ16:AR16)</f>
        <v>2082749</v>
      </c>
      <c r="AU16" s="3">
        <v>18668617.150000006</v>
      </c>
      <c r="AV16" s="92">
        <v>101841.97</v>
      </c>
      <c r="AW16" s="92">
        <v>2005111.02</v>
      </c>
      <c r="AX16" s="3">
        <f>AU16-AV16-AW16</f>
        <v>16561664.160000008</v>
      </c>
      <c r="AY16" s="3">
        <f>AX16/1000</f>
        <v>16561.664160000008</v>
      </c>
      <c r="BA16" s="247">
        <v>886193.46</v>
      </c>
      <c r="BB16" s="3">
        <v>1118917.56</v>
      </c>
      <c r="BC16" s="3">
        <f>SUM(BA16:BB16)</f>
        <v>2005111.02</v>
      </c>
      <c r="BE16" s="3">
        <v>19790146.63</v>
      </c>
      <c r="BF16" s="92">
        <v>80935.29</v>
      </c>
      <c r="BG16" s="156">
        <f>BM16</f>
        <v>2018274.8</v>
      </c>
      <c r="BH16" s="3">
        <f>BE16-BF16-BG16</f>
        <v>17690936.54</v>
      </c>
      <c r="BI16" s="3">
        <f>BH16/1000</f>
        <v>17690.93654</v>
      </c>
      <c r="BK16" s="247">
        <v>896465.23</v>
      </c>
      <c r="BL16" s="3">
        <v>1121809.57</v>
      </c>
      <c r="BM16" s="3">
        <f>SUM(BK16:BL16)</f>
        <v>2018274.8</v>
      </c>
      <c r="BO16" s="247">
        <v>1129176.77</v>
      </c>
      <c r="BP16" s="3">
        <v>30423</v>
      </c>
      <c r="BQ16" s="3">
        <f>SUM(BO16:BP16)</f>
        <v>1159599.77</v>
      </c>
      <c r="BS16" s="3">
        <v>22499764.04</v>
      </c>
      <c r="BT16" s="3">
        <v>323313.46</v>
      </c>
      <c r="BU16" s="3">
        <v>1129176.77</v>
      </c>
      <c r="BV16" s="3">
        <f>BS16-BT16-BU16</f>
        <v>21047273.81</v>
      </c>
      <c r="BW16" s="3">
        <f>BV16/1000</f>
        <v>21047.27381</v>
      </c>
      <c r="BY16" s="3">
        <v>24893580.039999995</v>
      </c>
      <c r="BZ16" s="3">
        <v>187635.22</v>
      </c>
      <c r="CA16" s="3">
        <v>2422773.34</v>
      </c>
      <c r="CB16" s="3">
        <f>BY16-BZ16-CA16</f>
        <v>22283171.479999997</v>
      </c>
      <c r="CC16" s="3">
        <f>CB16/1000</f>
        <v>22283.171479999997</v>
      </c>
      <c r="CE16" s="3">
        <v>26366248.68</v>
      </c>
      <c r="CF16" s="3">
        <v>551061.08</v>
      </c>
      <c r="CG16" s="3">
        <v>2341486.94</v>
      </c>
      <c r="CH16" s="3">
        <f>CE16-CF16-CG16</f>
        <v>23473700.66</v>
      </c>
      <c r="CI16" s="3">
        <f>CH16/1000</f>
        <v>23473.70066</v>
      </c>
    </row>
    <row r="17" spans="12:67" ht="12.75">
      <c r="L17" s="48"/>
      <c r="M17" s="48"/>
      <c r="N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D17" s="14"/>
      <c r="AG17" s="92"/>
      <c r="AL17" s="92"/>
      <c r="AM17" s="92"/>
      <c r="AV17" s="92"/>
      <c r="AW17" s="92"/>
      <c r="BA17" s="247"/>
      <c r="BF17" s="92"/>
      <c r="BG17" s="92"/>
      <c r="BK17" s="247"/>
      <c r="BO17" s="247"/>
    </row>
    <row r="18" spans="1:87" ht="12.75">
      <c r="A18" s="1" t="s">
        <v>11</v>
      </c>
      <c r="B18" s="1">
        <v>2920</v>
      </c>
      <c r="C18" s="1">
        <v>3124</v>
      </c>
      <c r="D18" s="1">
        <v>3492</v>
      </c>
      <c r="E18" s="1">
        <v>3870</v>
      </c>
      <c r="F18" s="1">
        <v>3890</v>
      </c>
      <c r="G18" s="1">
        <v>4203.39742</v>
      </c>
      <c r="H18" s="1">
        <v>4698.90401</v>
      </c>
      <c r="I18" s="1">
        <v>5286.33151</v>
      </c>
      <c r="J18" s="1">
        <v>5220.895880000001</v>
      </c>
      <c r="K18" s="1">
        <v>5530.14528</v>
      </c>
      <c r="L18" s="246">
        <f>(K18-J18)*100/J18</f>
        <v>5.923301423892766</v>
      </c>
      <c r="M18" s="48">
        <f>(K18-AC18)*100/AC18</f>
        <v>93.9721248684672</v>
      </c>
      <c r="N18" s="14">
        <v>833</v>
      </c>
      <c r="O18" s="14">
        <v>751</v>
      </c>
      <c r="P18" s="14">
        <v>884</v>
      </c>
      <c r="Q18" s="14">
        <v>972</v>
      </c>
      <c r="R18" s="14">
        <v>1083</v>
      </c>
      <c r="S18" s="14">
        <v>1229</v>
      </c>
      <c r="T18" s="14">
        <v>1318</v>
      </c>
      <c r="U18" s="14">
        <v>1451</v>
      </c>
      <c r="V18" s="14">
        <v>1532</v>
      </c>
      <c r="W18" s="14">
        <v>1730</v>
      </c>
      <c r="X18" s="14">
        <v>1923</v>
      </c>
      <c r="Y18" s="14">
        <v>2103</v>
      </c>
      <c r="Z18" s="14">
        <v>2182</v>
      </c>
      <c r="AA18" s="14">
        <v>2351</v>
      </c>
      <c r="AB18" s="14">
        <v>2573</v>
      </c>
      <c r="AC18" s="1">
        <v>2851</v>
      </c>
      <c r="AD18" s="14"/>
      <c r="AE18" s="3">
        <v>4423746.35</v>
      </c>
      <c r="AF18" s="3">
        <v>19781.51</v>
      </c>
      <c r="AG18" s="92">
        <v>534149</v>
      </c>
      <c r="AH18" s="3">
        <f>AE18-AF18-AG18</f>
        <v>3869815.84</v>
      </c>
      <c r="AI18" s="3">
        <f>AH18/1000</f>
        <v>3869.8158399999998</v>
      </c>
      <c r="AK18" s="3">
        <v>4412108.67</v>
      </c>
      <c r="AL18" s="92">
        <v>2254.48</v>
      </c>
      <c r="AM18" s="92">
        <v>519727</v>
      </c>
      <c r="AN18" s="3">
        <f>AK18-AL18-AM18</f>
        <v>3890127.1899999995</v>
      </c>
      <c r="AO18" s="3">
        <f>AN18/1000</f>
        <v>3890.1271899999997</v>
      </c>
      <c r="AQ18" s="3">
        <v>365918</v>
      </c>
      <c r="AR18" s="3">
        <v>153809</v>
      </c>
      <c r="AS18" s="3">
        <f>SUM(AQ18:AR18)</f>
        <v>519727</v>
      </c>
      <c r="AU18" s="3">
        <v>4854551.63</v>
      </c>
      <c r="AV18" s="92">
        <v>31210.11</v>
      </c>
      <c r="AW18" s="92">
        <v>619944.1</v>
      </c>
      <c r="AX18" s="3">
        <f>AU18-AV18-AW18</f>
        <v>4203397.42</v>
      </c>
      <c r="AY18" s="3">
        <f>AX18/1000</f>
        <v>4203.39742</v>
      </c>
      <c r="BA18" s="247">
        <v>456856.1</v>
      </c>
      <c r="BB18" s="3">
        <v>163088</v>
      </c>
      <c r="BC18" s="3">
        <f>SUM(BA18:BB18)</f>
        <v>619944.1</v>
      </c>
      <c r="BE18" s="3">
        <v>5341976.87</v>
      </c>
      <c r="BF18" s="92">
        <v>48116.59</v>
      </c>
      <c r="BG18" s="156">
        <f>BM18</f>
        <v>594956.27</v>
      </c>
      <c r="BH18" s="3">
        <f>BE18-BF18-BG18</f>
        <v>4698904.01</v>
      </c>
      <c r="BI18" s="3">
        <f>BH18/1000</f>
        <v>4698.90401</v>
      </c>
      <c r="BK18" s="247">
        <v>409736.23</v>
      </c>
      <c r="BL18" s="3">
        <v>185220.04</v>
      </c>
      <c r="BM18" s="3">
        <f>SUM(BK18:BL18)</f>
        <v>594956.27</v>
      </c>
      <c r="BO18" s="247">
        <v>371757.85</v>
      </c>
      <c r="BP18" s="3">
        <v>237417</v>
      </c>
      <c r="BQ18" s="3">
        <f>SUM(BO18:BP18)</f>
        <v>609174.85</v>
      </c>
      <c r="BS18" s="3">
        <v>5708407.949999999</v>
      </c>
      <c r="BT18" s="3">
        <v>50318.59</v>
      </c>
      <c r="BU18" s="3">
        <v>371757.85</v>
      </c>
      <c r="BV18" s="3">
        <f>BS18-BT18-BU18</f>
        <v>5286331.51</v>
      </c>
      <c r="BW18" s="3">
        <f>BV18/1000</f>
        <v>5286.33151</v>
      </c>
      <c r="BY18" s="3">
        <v>5760693.540000001</v>
      </c>
      <c r="BZ18" s="3">
        <v>102670.93</v>
      </c>
      <c r="CA18" s="3">
        <v>437126.73</v>
      </c>
      <c r="CB18" s="3">
        <f>BY18-BZ18-CA18</f>
        <v>5220895.880000001</v>
      </c>
      <c r="CC18" s="3">
        <f>CB18/1000</f>
        <v>5220.895880000001</v>
      </c>
      <c r="CE18" s="3">
        <v>6407260.4399999995</v>
      </c>
      <c r="CF18" s="3">
        <v>518429.29000000004</v>
      </c>
      <c r="CG18" s="3">
        <v>358685.87</v>
      </c>
      <c r="CH18" s="3">
        <f>CE18-CF18-CG18</f>
        <v>5530145.279999999</v>
      </c>
      <c r="CI18" s="3">
        <f>CH18/1000</f>
        <v>5530.14528</v>
      </c>
    </row>
    <row r="19" spans="1:87" ht="12.75">
      <c r="A19" s="1" t="s">
        <v>12</v>
      </c>
      <c r="B19" s="1">
        <v>16127</v>
      </c>
      <c r="C19" s="1">
        <v>17485</v>
      </c>
      <c r="D19" s="1">
        <v>18674</v>
      </c>
      <c r="E19" s="1">
        <v>19976</v>
      </c>
      <c r="F19" s="1">
        <v>21466</v>
      </c>
      <c r="G19" s="1">
        <v>23318.22693</v>
      </c>
      <c r="H19" s="1">
        <v>25744.48596</v>
      </c>
      <c r="I19" s="1">
        <v>28107.38661</v>
      </c>
      <c r="J19" s="1">
        <v>28455.90953</v>
      </c>
      <c r="K19" s="1">
        <v>30735.101689999996</v>
      </c>
      <c r="L19" s="246">
        <f>(K19-J19)*100/J19</f>
        <v>8.009556530242437</v>
      </c>
      <c r="M19" s="48">
        <f>(K19-AC19)*100/AC19</f>
        <v>107.41734167903897</v>
      </c>
      <c r="N19" s="14">
        <v>3815</v>
      </c>
      <c r="O19" s="14">
        <v>3771</v>
      </c>
      <c r="P19" s="14">
        <v>4310</v>
      </c>
      <c r="Q19" s="14">
        <v>4866</v>
      </c>
      <c r="R19" s="14">
        <v>5607</v>
      </c>
      <c r="S19" s="14">
        <v>6252</v>
      </c>
      <c r="T19" s="14">
        <v>6868</v>
      </c>
      <c r="U19" s="14">
        <v>7602</v>
      </c>
      <c r="V19" s="14">
        <v>8476</v>
      </c>
      <c r="W19" s="14">
        <v>8803</v>
      </c>
      <c r="X19" s="14">
        <v>9821</v>
      </c>
      <c r="Y19" s="14">
        <v>10719</v>
      </c>
      <c r="Z19" s="14">
        <v>11035</v>
      </c>
      <c r="AA19" s="14">
        <v>12135</v>
      </c>
      <c r="AB19" s="14">
        <v>13744</v>
      </c>
      <c r="AC19" s="1">
        <v>14818</v>
      </c>
      <c r="AD19" s="14"/>
      <c r="AE19" s="3">
        <v>25452669</v>
      </c>
      <c r="AF19" s="3">
        <v>123912.28</v>
      </c>
      <c r="AG19" s="92">
        <v>5352717.97</v>
      </c>
      <c r="AH19" s="3">
        <f>AE19-AF19-AG19</f>
        <v>19976038.75</v>
      </c>
      <c r="AI19" s="3">
        <f>AH19/1000</f>
        <v>19976.03875</v>
      </c>
      <c r="AK19" s="3">
        <v>27590826</v>
      </c>
      <c r="AL19" s="92">
        <v>101994.46</v>
      </c>
      <c r="AM19" s="92">
        <v>6023256</v>
      </c>
      <c r="AN19" s="3">
        <f>AK19-AL19-AM19</f>
        <v>21465575.54</v>
      </c>
      <c r="AO19" s="3">
        <f>AN19/1000</f>
        <v>21465.575539999998</v>
      </c>
      <c r="AQ19" s="3">
        <v>5974950</v>
      </c>
      <c r="AR19" s="3">
        <v>48306</v>
      </c>
      <c r="AS19" s="3">
        <f>SUM(AQ19:AR19)</f>
        <v>6023256</v>
      </c>
      <c r="AU19" s="3">
        <v>29909361.07</v>
      </c>
      <c r="AV19" s="92">
        <v>155744.05</v>
      </c>
      <c r="AW19" s="92">
        <v>6435390.09</v>
      </c>
      <c r="AX19" s="3">
        <f>AU19-AV19-AW19</f>
        <v>23318226.93</v>
      </c>
      <c r="AY19" s="3">
        <f>AX19/1000</f>
        <v>23318.22693</v>
      </c>
      <c r="BA19" s="247">
        <v>6383566.52</v>
      </c>
      <c r="BB19" s="3">
        <v>51823.57</v>
      </c>
      <c r="BC19" s="3">
        <f>SUM(BA19:BB19)</f>
        <v>6435390.09</v>
      </c>
      <c r="BE19" s="3">
        <v>32395263.22</v>
      </c>
      <c r="BF19" s="92">
        <v>172489.91</v>
      </c>
      <c r="BG19" s="156">
        <f>BM19</f>
        <v>6478287.35</v>
      </c>
      <c r="BH19" s="3">
        <f>BE19-BF19-BG19</f>
        <v>25744485.96</v>
      </c>
      <c r="BI19" s="3">
        <f>BH19/1000</f>
        <v>25744.48596</v>
      </c>
      <c r="BK19" s="247">
        <v>6437594.35</v>
      </c>
      <c r="BL19" s="3">
        <v>40693</v>
      </c>
      <c r="BM19" s="3">
        <f>SUM(BK19:BL19)</f>
        <v>6478287.35</v>
      </c>
      <c r="BO19" s="247">
        <v>6874216.19</v>
      </c>
      <c r="BP19" s="3">
        <v>13014.16</v>
      </c>
      <c r="BQ19" s="3">
        <f>SUM(BO19:BP19)</f>
        <v>6887230.350000001</v>
      </c>
      <c r="BS19" s="3">
        <v>35040931.900000006</v>
      </c>
      <c r="BT19" s="3">
        <v>59329.1</v>
      </c>
      <c r="BU19" s="3">
        <v>6874216.19</v>
      </c>
      <c r="BV19" s="3">
        <f>BS19-BT19-BU19</f>
        <v>28107386.610000003</v>
      </c>
      <c r="BW19" s="3">
        <f>BV19/1000</f>
        <v>28107.38661</v>
      </c>
      <c r="BY19" s="3">
        <v>37320549.83</v>
      </c>
      <c r="BZ19" s="3">
        <v>60287.72</v>
      </c>
      <c r="CA19" s="3">
        <v>8804352.58</v>
      </c>
      <c r="CB19" s="3">
        <f>BY19-BZ19-CA19</f>
        <v>28455909.53</v>
      </c>
      <c r="CC19" s="3">
        <f>CB19/1000</f>
        <v>28455.90953</v>
      </c>
      <c r="CE19" s="3">
        <v>39262545.36</v>
      </c>
      <c r="CF19" s="3">
        <v>247338.95</v>
      </c>
      <c r="CG19" s="3">
        <v>8280104.72</v>
      </c>
      <c r="CH19" s="3">
        <f>CE19-CF19-CG19</f>
        <v>30735101.689999998</v>
      </c>
      <c r="CI19" s="3">
        <f>CH19/1000</f>
        <v>30735.101689999996</v>
      </c>
    </row>
    <row r="20" spans="1:87" ht="12.75">
      <c r="A20" s="1" t="s">
        <v>13</v>
      </c>
      <c r="B20" s="1">
        <v>10894</v>
      </c>
      <c r="C20" s="1">
        <v>12051</v>
      </c>
      <c r="D20" s="1">
        <v>12932</v>
      </c>
      <c r="E20" s="1">
        <v>13730</v>
      </c>
      <c r="F20" s="1">
        <v>14873</v>
      </c>
      <c r="G20" s="1">
        <v>16844.90405</v>
      </c>
      <c r="H20" s="1">
        <v>18036.46372</v>
      </c>
      <c r="I20" s="1">
        <v>19995.307670000002</v>
      </c>
      <c r="J20" s="1">
        <v>21586.12284</v>
      </c>
      <c r="K20" s="1">
        <v>21946.463359999998</v>
      </c>
      <c r="L20" s="246">
        <f>(K20-J20)*100/J20</f>
        <v>1.669315618515205</v>
      </c>
      <c r="M20" s="48">
        <f>(K20-AC20)*100/AC20</f>
        <v>121.36840185596125</v>
      </c>
      <c r="N20" s="14">
        <v>2348</v>
      </c>
      <c r="O20" s="14">
        <v>2486</v>
      </c>
      <c r="P20" s="14">
        <v>2731</v>
      </c>
      <c r="Q20" s="14">
        <v>3349</v>
      </c>
      <c r="R20" s="14">
        <v>3702</v>
      </c>
      <c r="S20" s="14">
        <v>4382</v>
      </c>
      <c r="T20" s="14">
        <v>4729</v>
      </c>
      <c r="U20" s="14">
        <v>4991</v>
      </c>
      <c r="V20" s="14">
        <v>5452</v>
      </c>
      <c r="W20" s="14">
        <v>6063</v>
      </c>
      <c r="X20" s="14">
        <v>6622</v>
      </c>
      <c r="Y20" s="14">
        <v>7154</v>
      </c>
      <c r="Z20" s="14">
        <v>7518</v>
      </c>
      <c r="AA20" s="14">
        <v>8046</v>
      </c>
      <c r="AB20" s="14">
        <v>9143</v>
      </c>
      <c r="AC20" s="1">
        <v>9914</v>
      </c>
      <c r="AD20" s="14"/>
      <c r="AE20" s="3">
        <v>16240490</v>
      </c>
      <c r="AF20" s="3">
        <v>138294.1</v>
      </c>
      <c r="AG20" s="92">
        <v>2372012.69</v>
      </c>
      <c r="AH20" s="3">
        <f>AE20-AF20-AG20</f>
        <v>13730183.21</v>
      </c>
      <c r="AI20" s="3">
        <f>AH20/1000</f>
        <v>13730.183210000001</v>
      </c>
      <c r="AK20" s="3">
        <v>17605614</v>
      </c>
      <c r="AL20" s="92">
        <v>40005.06</v>
      </c>
      <c r="AM20" s="92">
        <v>2693078</v>
      </c>
      <c r="AN20" s="3">
        <f>AK20-AL20-AM20</f>
        <v>14872530.940000001</v>
      </c>
      <c r="AO20" s="3">
        <f>AN20/1000</f>
        <v>14872.53094</v>
      </c>
      <c r="AQ20" s="3">
        <v>2693078</v>
      </c>
      <c r="AR20" s="3">
        <v>0</v>
      </c>
      <c r="AS20" s="3">
        <f>SUM(AQ20:AR20)</f>
        <v>2693078</v>
      </c>
      <c r="AU20" s="3">
        <v>20631439.919999998</v>
      </c>
      <c r="AV20" s="92">
        <v>30095.47</v>
      </c>
      <c r="AW20" s="92">
        <v>3756440.4</v>
      </c>
      <c r="AX20" s="3">
        <f>AU20-AV20-AW20</f>
        <v>16844904.05</v>
      </c>
      <c r="AY20" s="3">
        <f>AX20/1000</f>
        <v>16844.90405</v>
      </c>
      <c r="BA20" s="247">
        <v>3756440.4</v>
      </c>
      <c r="BB20" s="3">
        <v>0</v>
      </c>
      <c r="BC20" s="3">
        <f>SUM(BA20:BB20)</f>
        <v>3756440.4</v>
      </c>
      <c r="BE20" s="3">
        <v>21837451.099999998</v>
      </c>
      <c r="BF20" s="92">
        <v>74087.06</v>
      </c>
      <c r="BG20" s="156">
        <f>BM20</f>
        <v>3726900.32</v>
      </c>
      <c r="BH20" s="3">
        <f>BE20-BF20-BG20</f>
        <v>18036463.72</v>
      </c>
      <c r="BI20" s="3">
        <f>BH20/1000</f>
        <v>18036.46372</v>
      </c>
      <c r="BK20" s="247">
        <v>3726900.32</v>
      </c>
      <c r="BL20" s="3">
        <v>0</v>
      </c>
      <c r="BM20" s="3">
        <f>SUM(BK20:BL20)</f>
        <v>3726900.32</v>
      </c>
      <c r="BO20" s="247">
        <v>4081479.09</v>
      </c>
      <c r="BP20" s="3">
        <v>0</v>
      </c>
      <c r="BQ20" s="3">
        <f>SUM(BO20:BP20)</f>
        <v>4081479.09</v>
      </c>
      <c r="BS20" s="3">
        <v>24112325.23</v>
      </c>
      <c r="BT20" s="3">
        <v>35538.47</v>
      </c>
      <c r="BU20" s="3">
        <v>4081479.09</v>
      </c>
      <c r="BV20" s="3">
        <f>BS20-BT20-BU20</f>
        <v>19995307.67</v>
      </c>
      <c r="BW20" s="3">
        <f>BV20/1000</f>
        <v>19995.307670000002</v>
      </c>
      <c r="BY20" s="3">
        <v>25141876.63</v>
      </c>
      <c r="BZ20" s="3">
        <v>12489.880000000001</v>
      </c>
      <c r="CA20" s="3">
        <v>3543263.91</v>
      </c>
      <c r="CB20" s="3">
        <f>BY20-BZ20-CA20</f>
        <v>21586122.84</v>
      </c>
      <c r="CC20" s="3">
        <f>CB20/1000</f>
        <v>21586.12284</v>
      </c>
      <c r="CE20" s="3">
        <v>25737862.189999998</v>
      </c>
      <c r="CF20" s="3">
        <v>150253.41</v>
      </c>
      <c r="CG20" s="3">
        <v>3641145.42</v>
      </c>
      <c r="CH20" s="3">
        <f>CE20-CF20-CG20</f>
        <v>21946463.36</v>
      </c>
      <c r="CI20" s="3">
        <f>CH20/1000</f>
        <v>21946.463359999998</v>
      </c>
    </row>
    <row r="21" spans="1:87" ht="12.75">
      <c r="A21" s="1" t="s">
        <v>14</v>
      </c>
      <c r="B21" s="1">
        <v>13986</v>
      </c>
      <c r="C21" s="1">
        <v>15176</v>
      </c>
      <c r="D21" s="1">
        <v>16613</v>
      </c>
      <c r="E21" s="1">
        <v>17681</v>
      </c>
      <c r="F21" s="1">
        <v>19507</v>
      </c>
      <c r="G21" s="1">
        <v>21303.441909999998</v>
      </c>
      <c r="H21" s="1">
        <v>23388.93343</v>
      </c>
      <c r="I21" s="1">
        <v>26513.09933</v>
      </c>
      <c r="J21" s="1">
        <v>28960.091890000007</v>
      </c>
      <c r="K21" s="1">
        <v>31130.08419</v>
      </c>
      <c r="L21" s="246">
        <f>(K21-J21)*100/J21</f>
        <v>7.49304355884761</v>
      </c>
      <c r="M21" s="48">
        <f>(K21-AC21)*100/AC21</f>
        <v>137.3262498284669</v>
      </c>
      <c r="N21" s="14">
        <v>4413</v>
      </c>
      <c r="O21" s="14">
        <v>4646</v>
      </c>
      <c r="P21" s="14">
        <v>5140</v>
      </c>
      <c r="Q21" s="14">
        <v>5593</v>
      </c>
      <c r="R21" s="14">
        <v>6183</v>
      </c>
      <c r="S21" s="14">
        <v>6934</v>
      </c>
      <c r="T21" s="14">
        <v>7950</v>
      </c>
      <c r="U21" s="14">
        <v>8476</v>
      </c>
      <c r="V21" s="14">
        <v>9200</v>
      </c>
      <c r="W21" s="14">
        <v>9675</v>
      </c>
      <c r="X21" s="14">
        <v>10183</v>
      </c>
      <c r="Y21" s="14">
        <v>9847</v>
      </c>
      <c r="Z21" s="14">
        <v>10035</v>
      </c>
      <c r="AA21" s="14">
        <v>10903</v>
      </c>
      <c r="AB21" s="14">
        <v>11852</v>
      </c>
      <c r="AC21" s="1">
        <v>13117</v>
      </c>
      <c r="AD21" s="14"/>
      <c r="AE21" s="3">
        <v>20767942</v>
      </c>
      <c r="AF21" s="3">
        <v>48501.84</v>
      </c>
      <c r="AG21" s="92">
        <v>3038027.57</v>
      </c>
      <c r="AH21" s="3">
        <f>AE21-AF21-AG21</f>
        <v>17681412.59</v>
      </c>
      <c r="AI21" s="3">
        <f>AH21/1000</f>
        <v>17681.41259</v>
      </c>
      <c r="AK21" s="3">
        <v>22635075</v>
      </c>
      <c r="AL21" s="92">
        <v>22656.65</v>
      </c>
      <c r="AM21" s="92">
        <v>3105690</v>
      </c>
      <c r="AN21" s="3">
        <f>AK21-AL21-AM21</f>
        <v>19506728.35</v>
      </c>
      <c r="AO21" s="3">
        <f>AN21/1000</f>
        <v>19506.72835</v>
      </c>
      <c r="AQ21" s="3">
        <v>2980146</v>
      </c>
      <c r="AR21" s="3">
        <v>125544</v>
      </c>
      <c r="AS21" s="3">
        <f>SUM(AQ21:AR21)</f>
        <v>3105690</v>
      </c>
      <c r="AU21" s="3">
        <v>24013341.47</v>
      </c>
      <c r="AV21" s="92">
        <v>6259.85</v>
      </c>
      <c r="AW21" s="92">
        <v>2703639.71</v>
      </c>
      <c r="AX21" s="3">
        <f>AU21-AV21-AW21</f>
        <v>21303441.909999996</v>
      </c>
      <c r="AY21" s="3">
        <f>AX21/1000</f>
        <v>21303.441909999998</v>
      </c>
      <c r="BA21" s="247">
        <v>2665818.65</v>
      </c>
      <c r="BB21" s="3">
        <v>37821.06</v>
      </c>
      <c r="BC21" s="3">
        <f>SUM(BA21:BB21)</f>
        <v>2703639.71</v>
      </c>
      <c r="BE21" s="3">
        <v>26375588.61</v>
      </c>
      <c r="BF21" s="92">
        <v>25985.35</v>
      </c>
      <c r="BG21" s="156">
        <f>BM21</f>
        <v>2960669.83</v>
      </c>
      <c r="BH21" s="3">
        <f>BE21-BF21-BG21</f>
        <v>23388933.43</v>
      </c>
      <c r="BI21" s="3">
        <f>BH21/1000</f>
        <v>23388.93343</v>
      </c>
      <c r="BK21" s="247">
        <v>2959419.83</v>
      </c>
      <c r="BL21" s="3">
        <v>1250</v>
      </c>
      <c r="BM21" s="3">
        <f>SUM(BK21:BL21)</f>
        <v>2960669.83</v>
      </c>
      <c r="BO21" s="247">
        <v>2925826.03</v>
      </c>
      <c r="BP21" s="3">
        <v>0</v>
      </c>
      <c r="BQ21" s="3">
        <f>SUM(BO21:BP21)</f>
        <v>2925826.03</v>
      </c>
      <c r="BS21" s="3">
        <v>29464383.930000003</v>
      </c>
      <c r="BT21" s="3">
        <v>25458.57</v>
      </c>
      <c r="BU21" s="3">
        <v>2925826.03</v>
      </c>
      <c r="BV21" s="3">
        <f>BS21-BT21-BU21</f>
        <v>26513099.330000002</v>
      </c>
      <c r="BW21" s="3">
        <f>BV21/1000</f>
        <v>26513.09933</v>
      </c>
      <c r="BY21" s="3">
        <v>31919074.220000006</v>
      </c>
      <c r="BZ21" s="3">
        <v>2193.07</v>
      </c>
      <c r="CA21" s="3">
        <v>2956789.26</v>
      </c>
      <c r="CB21" s="3">
        <f>BY21-BZ21-CA21</f>
        <v>28960091.890000008</v>
      </c>
      <c r="CC21" s="3">
        <f>CB21/1000</f>
        <v>28960.091890000007</v>
      </c>
      <c r="CE21" s="3">
        <v>34438583.31</v>
      </c>
      <c r="CF21" s="3">
        <v>0</v>
      </c>
      <c r="CG21" s="3">
        <v>3308499.12</v>
      </c>
      <c r="CH21" s="3">
        <f>CE21-CF21-CG21</f>
        <v>31130084.19</v>
      </c>
      <c r="CI21" s="3">
        <f>CH21/1000</f>
        <v>31130.08419</v>
      </c>
    </row>
    <row r="22" spans="1:87" ht="12.75">
      <c r="A22" s="1" t="s">
        <v>15</v>
      </c>
      <c r="B22" s="1">
        <v>3063</v>
      </c>
      <c r="C22" s="1">
        <v>2944</v>
      </c>
      <c r="D22" s="1">
        <v>3383</v>
      </c>
      <c r="E22" s="1">
        <v>3648</v>
      </c>
      <c r="F22" s="1">
        <v>3905</v>
      </c>
      <c r="G22" s="1">
        <v>4117.022169999999</v>
      </c>
      <c r="H22" s="1">
        <v>4734.52915</v>
      </c>
      <c r="I22" s="1">
        <v>5158.22772</v>
      </c>
      <c r="J22" s="1">
        <v>5058.7905599999995</v>
      </c>
      <c r="K22" s="1">
        <v>5082.1079899999995</v>
      </c>
      <c r="L22" s="246">
        <f>(K22-J22)*100/J22</f>
        <v>0.4609289458308798</v>
      </c>
      <c r="M22" s="48">
        <f>(K22-AC22)*100/AC22</f>
        <v>91.41649679849338</v>
      </c>
      <c r="N22" s="14">
        <v>1058</v>
      </c>
      <c r="O22" s="14">
        <v>1039</v>
      </c>
      <c r="P22" s="14">
        <v>1149</v>
      </c>
      <c r="Q22" s="14">
        <v>1296</v>
      </c>
      <c r="R22" s="14">
        <v>1511</v>
      </c>
      <c r="S22" s="14">
        <v>1717</v>
      </c>
      <c r="T22" s="14">
        <v>1811</v>
      </c>
      <c r="U22" s="14">
        <v>1846</v>
      </c>
      <c r="V22" s="14">
        <v>1960</v>
      </c>
      <c r="W22" s="14">
        <v>2156</v>
      </c>
      <c r="X22" s="14">
        <v>2275</v>
      </c>
      <c r="Y22" s="14">
        <v>2453</v>
      </c>
      <c r="Z22" s="14">
        <v>2656</v>
      </c>
      <c r="AA22" s="14">
        <v>2630</v>
      </c>
      <c r="AB22" s="14">
        <v>2660</v>
      </c>
      <c r="AC22" s="1">
        <v>2655</v>
      </c>
      <c r="AD22" s="14"/>
      <c r="AE22" s="3">
        <v>3735448.84</v>
      </c>
      <c r="AF22" s="3">
        <v>87314.09</v>
      </c>
      <c r="AG22" s="92">
        <v>0</v>
      </c>
      <c r="AH22" s="3">
        <f>AE22-AF22-AG22</f>
        <v>3648134.75</v>
      </c>
      <c r="AI22" s="3">
        <f>AH22/1000</f>
        <v>3648.13475</v>
      </c>
      <c r="AK22" s="3">
        <v>3923543.55</v>
      </c>
      <c r="AL22" s="92">
        <v>18085.38</v>
      </c>
      <c r="AM22" s="92">
        <v>0</v>
      </c>
      <c r="AN22" s="3">
        <f>AK22-AL22-AM22</f>
        <v>3905458.17</v>
      </c>
      <c r="AO22" s="3">
        <f>AN22/1000</f>
        <v>3905.45817</v>
      </c>
      <c r="AQ22" s="3">
        <v>0</v>
      </c>
      <c r="AR22" s="3">
        <v>0</v>
      </c>
      <c r="AS22" s="3">
        <f>SUM(AQ22:AR22)</f>
        <v>0</v>
      </c>
      <c r="AU22" s="3">
        <v>4233739.14</v>
      </c>
      <c r="AV22" s="92">
        <v>116716.97</v>
      </c>
      <c r="AW22" s="92">
        <v>0</v>
      </c>
      <c r="AX22" s="3">
        <f>AU22-AV22-AW22</f>
        <v>4117022.1699999995</v>
      </c>
      <c r="AY22" s="3">
        <f>AX22/1000</f>
        <v>4117.022169999999</v>
      </c>
      <c r="BA22" s="247">
        <v>0</v>
      </c>
      <c r="BB22" s="3">
        <v>0</v>
      </c>
      <c r="BC22" s="3">
        <f>SUM(BA22:BB22)</f>
        <v>0</v>
      </c>
      <c r="BE22" s="3">
        <v>4816736.83</v>
      </c>
      <c r="BF22" s="92">
        <v>82207.68</v>
      </c>
      <c r="BG22" s="156">
        <f>BM22</f>
        <v>0</v>
      </c>
      <c r="BH22" s="3">
        <f>BE22-BF22-BG22</f>
        <v>4734529.15</v>
      </c>
      <c r="BI22" s="3">
        <f>BH22/1000</f>
        <v>4734.52915</v>
      </c>
      <c r="BK22" s="247">
        <v>0</v>
      </c>
      <c r="BL22" s="3">
        <v>0</v>
      </c>
      <c r="BM22" s="3">
        <f>SUM(BK22:BL22)</f>
        <v>0</v>
      </c>
      <c r="BO22" s="247">
        <v>0</v>
      </c>
      <c r="BP22" s="3">
        <v>0</v>
      </c>
      <c r="BQ22" s="3">
        <f>SUM(BO22:BP22)</f>
        <v>0</v>
      </c>
      <c r="BS22" s="3">
        <v>5184118.83</v>
      </c>
      <c r="BT22" s="3">
        <v>25891.11</v>
      </c>
      <c r="BU22" s="3">
        <v>0</v>
      </c>
      <c r="BV22" s="3">
        <f>BS22-BT22-BU22</f>
        <v>5158227.72</v>
      </c>
      <c r="BW22" s="3">
        <f>BV22/1000</f>
        <v>5158.22772</v>
      </c>
      <c r="BY22" s="3">
        <v>5080373.29</v>
      </c>
      <c r="BZ22" s="3">
        <v>21582.73</v>
      </c>
      <c r="CA22" s="3">
        <v>0</v>
      </c>
      <c r="CB22" s="3">
        <f>BY22-BZ22-CA22</f>
        <v>5058790.56</v>
      </c>
      <c r="CC22" s="3">
        <f>CB22/1000</f>
        <v>5058.7905599999995</v>
      </c>
      <c r="CE22" s="3">
        <v>5229268.789999999</v>
      </c>
      <c r="CF22" s="3">
        <v>147160.80000000002</v>
      </c>
      <c r="CG22" s="3">
        <v>0</v>
      </c>
      <c r="CH22" s="3">
        <f>CE22-CF22-CG22</f>
        <v>5082107.989999999</v>
      </c>
      <c r="CI22" s="3">
        <f>CH22/1000</f>
        <v>5082.1079899999995</v>
      </c>
    </row>
    <row r="23" spans="12:67" ht="12.75">
      <c r="L23" s="48"/>
      <c r="M23" s="48"/>
      <c r="N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D23" s="14"/>
      <c r="AG23" s="92"/>
      <c r="AL23" s="92"/>
      <c r="AM23" s="92"/>
      <c r="AV23" s="92"/>
      <c r="AW23" s="92"/>
      <c r="BA23" s="247"/>
      <c r="BF23" s="92"/>
      <c r="BG23" s="92"/>
      <c r="BK23" s="247"/>
      <c r="BO23" s="247"/>
    </row>
    <row r="24" spans="1:87" ht="12.75">
      <c r="A24" s="1" t="s">
        <v>16</v>
      </c>
      <c r="B24" s="1">
        <v>18572</v>
      </c>
      <c r="C24" s="1">
        <v>21129</v>
      </c>
      <c r="D24" s="1">
        <v>22231</v>
      </c>
      <c r="E24" s="1">
        <v>25272</v>
      </c>
      <c r="F24" s="1">
        <v>27447</v>
      </c>
      <c r="G24" s="1">
        <v>30380.379829999998</v>
      </c>
      <c r="H24" s="1">
        <v>34015.679209999995</v>
      </c>
      <c r="I24" s="1">
        <v>38722.29353999999</v>
      </c>
      <c r="J24" s="1">
        <v>41270.66793</v>
      </c>
      <c r="K24" s="1">
        <v>44037.093629999996</v>
      </c>
      <c r="L24" s="246">
        <f>(K24-J24)*100/J24</f>
        <v>6.703128005323737</v>
      </c>
      <c r="M24" s="48">
        <f>(K24-AC24)*100/AC24</f>
        <v>151.39632145915394</v>
      </c>
      <c r="N24" s="14">
        <v>4233</v>
      </c>
      <c r="O24" s="14">
        <v>4298</v>
      </c>
      <c r="P24" s="14">
        <v>4746</v>
      </c>
      <c r="Q24" s="14">
        <v>5306</v>
      </c>
      <c r="R24" s="14">
        <v>6563</v>
      </c>
      <c r="S24" s="14">
        <v>7771</v>
      </c>
      <c r="T24" s="14">
        <v>8814</v>
      </c>
      <c r="U24" s="14">
        <v>9353</v>
      </c>
      <c r="V24" s="14">
        <v>10151</v>
      </c>
      <c r="W24" s="14">
        <v>11429</v>
      </c>
      <c r="X24" s="14">
        <v>12814</v>
      </c>
      <c r="Y24" s="14">
        <v>13466</v>
      </c>
      <c r="Z24" s="14">
        <v>14021</v>
      </c>
      <c r="AA24" s="14">
        <v>14858</v>
      </c>
      <c r="AB24" s="14">
        <v>16115</v>
      </c>
      <c r="AC24" s="1">
        <v>17517</v>
      </c>
      <c r="AD24" s="14"/>
      <c r="AE24" s="3">
        <v>28521444</v>
      </c>
      <c r="AF24" s="3">
        <v>50926.45</v>
      </c>
      <c r="AG24" s="92">
        <v>3198938.99</v>
      </c>
      <c r="AH24" s="3">
        <f>AE24-AF24-AG24</f>
        <v>25271578.560000002</v>
      </c>
      <c r="AI24" s="3">
        <f>AH24/1000</f>
        <v>25271.57856</v>
      </c>
      <c r="AK24" s="3">
        <v>31525077</v>
      </c>
      <c r="AL24" s="92">
        <v>49664</v>
      </c>
      <c r="AM24" s="92">
        <v>4028699</v>
      </c>
      <c r="AN24" s="3">
        <f>AK24-AL24-AM24</f>
        <v>27446714</v>
      </c>
      <c r="AO24" s="3">
        <f>AN24/1000</f>
        <v>27446.714</v>
      </c>
      <c r="AQ24" s="3">
        <v>4028699</v>
      </c>
      <c r="AR24" s="3">
        <v>0</v>
      </c>
      <c r="AS24" s="3">
        <f>SUM(AQ24:AR24)</f>
        <v>4028699</v>
      </c>
      <c r="AU24" s="3">
        <v>34450466.43</v>
      </c>
      <c r="AV24" s="92">
        <v>42438.82</v>
      </c>
      <c r="AW24" s="92">
        <v>4027647.78</v>
      </c>
      <c r="AX24" s="3">
        <f>AU24-AV24-AW24</f>
        <v>30380379.83</v>
      </c>
      <c r="AY24" s="3">
        <f>AX24/1000</f>
        <v>30380.379829999998</v>
      </c>
      <c r="BA24" s="247">
        <v>4027647.78</v>
      </c>
      <c r="BB24" s="3">
        <v>0</v>
      </c>
      <c r="BC24" s="3">
        <f>SUM(BA24:BB24)</f>
        <v>4027647.78</v>
      </c>
      <c r="BE24" s="3">
        <v>38292518.56999999</v>
      </c>
      <c r="BF24" s="92">
        <v>70618.07</v>
      </c>
      <c r="BG24" s="156">
        <f>BM24</f>
        <v>4206221.29</v>
      </c>
      <c r="BH24" s="3">
        <f>BE24-BF24-BG24</f>
        <v>34015679.20999999</v>
      </c>
      <c r="BI24" s="3">
        <f>BH24/1000</f>
        <v>34015.679209999995</v>
      </c>
      <c r="BK24" s="247">
        <v>4206221.29</v>
      </c>
      <c r="BL24" s="3">
        <v>0</v>
      </c>
      <c r="BM24" s="3">
        <f>SUM(BK24:BL24)</f>
        <v>4206221.29</v>
      </c>
      <c r="BO24" s="247">
        <v>5184362.46</v>
      </c>
      <c r="BP24" s="3">
        <v>0</v>
      </c>
      <c r="BQ24" s="3">
        <f>SUM(BO24:BP24)</f>
        <v>5184362.46</v>
      </c>
      <c r="BS24" s="3">
        <v>44022010.059999995</v>
      </c>
      <c r="BT24" s="3">
        <v>115354.06</v>
      </c>
      <c r="BU24" s="3">
        <v>5184362.46</v>
      </c>
      <c r="BV24" s="3">
        <f>BS24-BT24-BU24</f>
        <v>38722293.53999999</v>
      </c>
      <c r="BW24" s="3">
        <f>BV24/1000</f>
        <v>38722.29353999999</v>
      </c>
      <c r="BY24" s="3">
        <v>47384384.93</v>
      </c>
      <c r="BZ24" s="3">
        <v>127116.8</v>
      </c>
      <c r="CA24" s="3">
        <v>5986600.2</v>
      </c>
      <c r="CB24" s="3">
        <f>BY24-BZ24-CA24</f>
        <v>41270667.93</v>
      </c>
      <c r="CC24" s="3">
        <f>CB24/1000</f>
        <v>41270.66793</v>
      </c>
      <c r="CE24" s="3">
        <v>50423656.99999999</v>
      </c>
      <c r="CF24" s="3">
        <v>426180.22</v>
      </c>
      <c r="CG24" s="3">
        <v>5960383.15</v>
      </c>
      <c r="CH24" s="3">
        <f>CE24-CF24-CG24</f>
        <v>44037093.629999995</v>
      </c>
      <c r="CI24" s="3">
        <f>CH24/1000</f>
        <v>44037.093629999996</v>
      </c>
    </row>
    <row r="25" spans="1:87" ht="12.75">
      <c r="A25" s="1" t="s">
        <v>17</v>
      </c>
      <c r="B25" s="1">
        <v>2677</v>
      </c>
      <c r="C25" s="1">
        <v>2862</v>
      </c>
      <c r="D25" s="1">
        <v>2931</v>
      </c>
      <c r="E25" s="1">
        <v>3100</v>
      </c>
      <c r="F25" s="1">
        <v>3288</v>
      </c>
      <c r="G25" s="1">
        <v>3453.90693</v>
      </c>
      <c r="H25" s="1">
        <v>3671.37482</v>
      </c>
      <c r="I25" s="1">
        <v>3883.3209100000004</v>
      </c>
      <c r="J25" s="1">
        <v>3996.5684499999993</v>
      </c>
      <c r="K25" s="1">
        <v>4028.547760000001</v>
      </c>
      <c r="L25" s="246">
        <f>(K25-J25)*100/J25</f>
        <v>0.8001692051590293</v>
      </c>
      <c r="M25" s="48">
        <f>(K25-AC25)*100/AC25</f>
        <v>57.18095044869297</v>
      </c>
      <c r="N25" s="14">
        <v>995</v>
      </c>
      <c r="O25" s="14">
        <v>1045</v>
      </c>
      <c r="P25" s="14">
        <v>1276</v>
      </c>
      <c r="Q25" s="14">
        <v>1406</v>
      </c>
      <c r="R25" s="14">
        <v>1626</v>
      </c>
      <c r="S25" s="14">
        <v>1707</v>
      </c>
      <c r="T25" s="14">
        <v>1781</v>
      </c>
      <c r="U25" s="14">
        <v>1775</v>
      </c>
      <c r="V25" s="14">
        <v>1846</v>
      </c>
      <c r="W25" s="14">
        <v>2039</v>
      </c>
      <c r="X25" s="14">
        <v>2162</v>
      </c>
      <c r="Y25" s="14">
        <v>2167</v>
      </c>
      <c r="Z25" s="14">
        <v>2289</v>
      </c>
      <c r="AA25" s="14">
        <v>2460</v>
      </c>
      <c r="AB25" s="14">
        <v>2579</v>
      </c>
      <c r="AC25" s="1">
        <v>2563</v>
      </c>
      <c r="AD25" s="14"/>
      <c r="AE25" s="3">
        <v>3289015.75</v>
      </c>
      <c r="AF25" s="3">
        <v>12019.89</v>
      </c>
      <c r="AG25" s="92">
        <v>176852.13</v>
      </c>
      <c r="AH25" s="3">
        <f>AE25-AF25-AG25</f>
        <v>3100143.73</v>
      </c>
      <c r="AI25" s="3">
        <f>AH25/1000</f>
        <v>3100.14373</v>
      </c>
      <c r="AK25" s="3">
        <v>3514852.39</v>
      </c>
      <c r="AL25" s="92">
        <v>19979.26</v>
      </c>
      <c r="AM25" s="92">
        <v>206745</v>
      </c>
      <c r="AN25" s="3">
        <f>AK25-AL25-AM25</f>
        <v>3288128.1300000004</v>
      </c>
      <c r="AO25" s="3">
        <f>AN25/1000</f>
        <v>3288.1281300000005</v>
      </c>
      <c r="AQ25" s="3">
        <v>206745</v>
      </c>
      <c r="AR25" s="3">
        <v>0</v>
      </c>
      <c r="AS25" s="3">
        <f>SUM(AQ25:AR25)</f>
        <v>206745</v>
      </c>
      <c r="AU25" s="3">
        <v>3725929.61</v>
      </c>
      <c r="AV25" s="92">
        <v>6674.8</v>
      </c>
      <c r="AW25" s="92">
        <v>265347.88</v>
      </c>
      <c r="AX25" s="3">
        <f>AU25-AV25-AW25</f>
        <v>3453906.93</v>
      </c>
      <c r="AY25" s="3">
        <f>AX25/1000</f>
        <v>3453.90693</v>
      </c>
      <c r="BA25" s="247">
        <v>258943.66</v>
      </c>
      <c r="BB25" s="3">
        <v>6404.22</v>
      </c>
      <c r="BC25" s="3">
        <f>SUM(BA25:BB25)</f>
        <v>265347.88</v>
      </c>
      <c r="BE25" s="3">
        <v>4095489.11</v>
      </c>
      <c r="BF25" s="92">
        <v>8994.43</v>
      </c>
      <c r="BG25" s="156">
        <f>BM25</f>
        <v>415119.86</v>
      </c>
      <c r="BH25" s="3">
        <f>BE25-BF25-BG25</f>
        <v>3671374.82</v>
      </c>
      <c r="BI25" s="3">
        <f>BH25/1000</f>
        <v>3671.37482</v>
      </c>
      <c r="BK25" s="247">
        <v>415119.86</v>
      </c>
      <c r="BL25" s="3">
        <v>0</v>
      </c>
      <c r="BM25" s="3">
        <f>SUM(BK25:BL25)</f>
        <v>415119.86</v>
      </c>
      <c r="BO25" s="247">
        <v>555015.42</v>
      </c>
      <c r="BP25" s="3">
        <v>0</v>
      </c>
      <c r="BQ25" s="3">
        <f>SUM(BO25:BP25)</f>
        <v>555015.42</v>
      </c>
      <c r="BS25" s="3">
        <v>4451949.88</v>
      </c>
      <c r="BT25" s="3">
        <v>13613.55</v>
      </c>
      <c r="BU25" s="3">
        <v>555015.42</v>
      </c>
      <c r="BV25" s="3">
        <f>BS25-BT25-BU25</f>
        <v>3883320.91</v>
      </c>
      <c r="BW25" s="3">
        <f>BV25/1000</f>
        <v>3883.3209100000004</v>
      </c>
      <c r="BY25" s="3">
        <v>4596697.989999999</v>
      </c>
      <c r="BZ25" s="3">
        <v>14852.01</v>
      </c>
      <c r="CA25" s="3">
        <v>585277.53</v>
      </c>
      <c r="CB25" s="3">
        <f>BY25-BZ25-CA25</f>
        <v>3996568.4499999993</v>
      </c>
      <c r="CC25" s="3">
        <f>CB25/1000</f>
        <v>3996.5684499999993</v>
      </c>
      <c r="CE25" s="3">
        <v>4866104.680000001</v>
      </c>
      <c r="CF25" s="3">
        <v>66208.90999999999</v>
      </c>
      <c r="CG25" s="3">
        <v>771348.01</v>
      </c>
      <c r="CH25" s="3">
        <f>CE25-CF25-CG25</f>
        <v>4028547.7600000007</v>
      </c>
      <c r="CI25" s="3">
        <f>CH25/1000</f>
        <v>4028.547760000001</v>
      </c>
    </row>
    <row r="26" spans="1:87" ht="12.75">
      <c r="A26" s="1" t="s">
        <v>18</v>
      </c>
      <c r="B26" s="1">
        <v>21363</v>
      </c>
      <c r="C26" s="1">
        <v>23806</v>
      </c>
      <c r="D26" s="1">
        <v>24120</v>
      </c>
      <c r="E26" s="1">
        <v>25598</v>
      </c>
      <c r="F26" s="1">
        <v>26940</v>
      </c>
      <c r="G26" s="1">
        <v>31797.527760000004</v>
      </c>
      <c r="H26" s="1">
        <v>35489.30984999999</v>
      </c>
      <c r="I26" s="1">
        <v>38073.24214999999</v>
      </c>
      <c r="J26" s="1">
        <v>40023.698959999994</v>
      </c>
      <c r="K26" s="1">
        <v>45669.91503999999</v>
      </c>
      <c r="L26" s="246">
        <f>(K26-J26)*100/J26</f>
        <v>14.107182061415342</v>
      </c>
      <c r="M26" s="48">
        <f>(K26-AC26)*100/AC26</f>
        <v>132.47602463731226</v>
      </c>
      <c r="N26" s="14">
        <v>4614</v>
      </c>
      <c r="O26" s="14">
        <v>4704</v>
      </c>
      <c r="P26" s="14">
        <v>5343</v>
      </c>
      <c r="Q26" s="14">
        <v>5979</v>
      </c>
      <c r="R26" s="14">
        <v>6927</v>
      </c>
      <c r="S26" s="14">
        <v>7707</v>
      </c>
      <c r="T26" s="14">
        <v>8932</v>
      </c>
      <c r="U26" s="14">
        <v>9621</v>
      </c>
      <c r="V26" s="14">
        <v>10440</v>
      </c>
      <c r="W26" s="14">
        <v>12030</v>
      </c>
      <c r="X26" s="14">
        <v>13951</v>
      </c>
      <c r="Y26" s="14">
        <v>14821</v>
      </c>
      <c r="Z26" s="14">
        <v>15918</v>
      </c>
      <c r="AA26" s="14">
        <v>17303</v>
      </c>
      <c r="AB26" s="14">
        <v>17898</v>
      </c>
      <c r="AC26" s="1">
        <v>19645</v>
      </c>
      <c r="AD26" s="14"/>
      <c r="AE26" s="3">
        <v>32371030</v>
      </c>
      <c r="AF26" s="3">
        <v>99371.71</v>
      </c>
      <c r="AG26" s="92">
        <v>6673444</v>
      </c>
      <c r="AH26" s="3">
        <f>AE26-AF26-AG26</f>
        <v>25598214.29</v>
      </c>
      <c r="AI26" s="3">
        <f>AH26/1000</f>
        <v>25598.21429</v>
      </c>
      <c r="AK26" s="3">
        <v>34263946</v>
      </c>
      <c r="AL26" s="92">
        <v>171930.57</v>
      </c>
      <c r="AM26" s="92">
        <v>7151683</v>
      </c>
      <c r="AN26" s="3">
        <f>AK26-AL26-AM26</f>
        <v>26940332.43</v>
      </c>
      <c r="AO26" s="3">
        <f>AN26/1000</f>
        <v>26940.33243</v>
      </c>
      <c r="AQ26" s="3">
        <v>7151683</v>
      </c>
      <c r="AR26" s="3">
        <v>0</v>
      </c>
      <c r="AS26" s="3">
        <f>SUM(AQ26:AR26)</f>
        <v>7151683</v>
      </c>
      <c r="AU26" s="3">
        <v>40211800.650000006</v>
      </c>
      <c r="AV26" s="92">
        <v>124967.76</v>
      </c>
      <c r="AW26" s="92">
        <v>8289305.130000001</v>
      </c>
      <c r="AX26" s="3">
        <f>AU26-AV26-AW26</f>
        <v>31797527.760000005</v>
      </c>
      <c r="AY26" s="3">
        <f>AX26/1000</f>
        <v>31797.527760000004</v>
      </c>
      <c r="BA26" s="247">
        <v>8289305.130000001</v>
      </c>
      <c r="BB26" s="3">
        <v>0</v>
      </c>
      <c r="BC26" s="3">
        <f>SUM(BA26:BB26)</f>
        <v>8289305.130000001</v>
      </c>
      <c r="BE26" s="3">
        <v>44934172.739999995</v>
      </c>
      <c r="BF26" s="92">
        <v>172807.51</v>
      </c>
      <c r="BG26" s="156">
        <f>BM26</f>
        <v>9272055.379999999</v>
      </c>
      <c r="BH26" s="3">
        <f>BE26-BF26-BG26</f>
        <v>35489309.849999994</v>
      </c>
      <c r="BI26" s="3">
        <f>BH26/1000</f>
        <v>35489.30984999999</v>
      </c>
      <c r="BK26" s="247">
        <v>9272055.379999999</v>
      </c>
      <c r="BL26" s="3">
        <v>0</v>
      </c>
      <c r="BM26" s="3">
        <f>SUM(BK26:BL26)</f>
        <v>9272055.379999999</v>
      </c>
      <c r="BO26" s="247">
        <v>9548022.84</v>
      </c>
      <c r="BP26" s="3">
        <v>0</v>
      </c>
      <c r="BQ26" s="3">
        <f>SUM(BO26:BP26)</f>
        <v>9548022.84</v>
      </c>
      <c r="BS26" s="3">
        <v>47776218.239999995</v>
      </c>
      <c r="BT26" s="3">
        <v>154953.25</v>
      </c>
      <c r="BU26" s="3">
        <v>9548022.84</v>
      </c>
      <c r="BV26" s="3">
        <f>BS26-BT26-BU26</f>
        <v>38073242.14999999</v>
      </c>
      <c r="BW26" s="3">
        <f>BV26/1000</f>
        <v>38073.24214999999</v>
      </c>
      <c r="BY26" s="3">
        <v>50732659.879999995</v>
      </c>
      <c r="BZ26" s="3">
        <v>136291.73</v>
      </c>
      <c r="CA26" s="3">
        <v>10572669.190000001</v>
      </c>
      <c r="CB26" s="3">
        <f>BY26-BZ26-CA26</f>
        <v>40023698.95999999</v>
      </c>
      <c r="CC26" s="3">
        <f>CB26/1000</f>
        <v>40023.698959999994</v>
      </c>
      <c r="CE26" s="3">
        <v>56322087.00999999</v>
      </c>
      <c r="CF26" s="3">
        <v>234873.79999999996</v>
      </c>
      <c r="CG26" s="3">
        <v>10417298.17</v>
      </c>
      <c r="CH26" s="3">
        <f>CE26-CF26-CG26</f>
        <v>45669915.03999999</v>
      </c>
      <c r="CI26" s="3">
        <f>CH26/1000</f>
        <v>45669.91503999999</v>
      </c>
    </row>
    <row r="27" spans="1:87" ht="12.75">
      <c r="A27" s="1" t="s">
        <v>19</v>
      </c>
      <c r="B27" s="1">
        <v>39298</v>
      </c>
      <c r="C27" s="1">
        <v>44978</v>
      </c>
      <c r="D27" s="1">
        <v>51812</v>
      </c>
      <c r="E27" s="1">
        <v>57043</v>
      </c>
      <c r="F27" s="1">
        <v>66972</v>
      </c>
      <c r="G27" s="1">
        <v>68317.16096000001</v>
      </c>
      <c r="H27" s="1">
        <v>74112.48159</v>
      </c>
      <c r="I27" s="1">
        <v>84562.51379000001</v>
      </c>
      <c r="J27" s="1">
        <v>86622.42302</v>
      </c>
      <c r="K27" s="1">
        <v>87697.68653</v>
      </c>
      <c r="L27" s="246">
        <f>(K27-J27)*100/J27</f>
        <v>1.2413223649397798</v>
      </c>
      <c r="M27" s="48">
        <f>(K27-AC27)*100/AC27</f>
        <v>146.49414393726462</v>
      </c>
      <c r="N27" s="14">
        <v>7187</v>
      </c>
      <c r="O27" s="14">
        <v>6957</v>
      </c>
      <c r="P27" s="14">
        <v>8121</v>
      </c>
      <c r="Q27" s="14">
        <v>9202</v>
      </c>
      <c r="R27" s="14">
        <v>10972</v>
      </c>
      <c r="S27" s="14">
        <v>12786</v>
      </c>
      <c r="T27" s="14">
        <v>15245</v>
      </c>
      <c r="U27" s="14">
        <v>15876</v>
      </c>
      <c r="V27" s="14">
        <v>16684</v>
      </c>
      <c r="W27" s="14">
        <v>18682</v>
      </c>
      <c r="X27" s="14">
        <v>20517</v>
      </c>
      <c r="Y27" s="14">
        <v>22237</v>
      </c>
      <c r="Z27" s="14">
        <v>23576</v>
      </c>
      <c r="AA27" s="14">
        <v>25977</v>
      </c>
      <c r="AB27" s="14">
        <v>28449</v>
      </c>
      <c r="AC27" s="1">
        <v>35578</v>
      </c>
      <c r="AD27" s="14"/>
      <c r="AE27" s="3">
        <v>65372846</v>
      </c>
      <c r="AF27" s="3">
        <v>99208.87</v>
      </c>
      <c r="AG27" s="92">
        <v>8231032</v>
      </c>
      <c r="AH27" s="3">
        <f>AE27-AF27-AG27</f>
        <v>57042605.13</v>
      </c>
      <c r="AI27" s="3">
        <f>AH27/1000</f>
        <v>57042.60513</v>
      </c>
      <c r="AK27" s="3">
        <v>71627425</v>
      </c>
      <c r="AL27" s="92">
        <v>483881.93</v>
      </c>
      <c r="AM27" s="92">
        <v>4171756</v>
      </c>
      <c r="AN27" s="3">
        <f>AK27-AL27-AM27</f>
        <v>66971787.06999999</v>
      </c>
      <c r="AO27" s="3">
        <f>AN27/1000</f>
        <v>66971.78706999999</v>
      </c>
      <c r="AQ27" s="3">
        <v>4143873.07</v>
      </c>
      <c r="AR27" s="3">
        <v>27882.5</v>
      </c>
      <c r="AS27" s="3">
        <f>SUM(AQ27:AR27)</f>
        <v>4171755.57</v>
      </c>
      <c r="AU27" s="3">
        <v>75667634.48000002</v>
      </c>
      <c r="AV27" s="92">
        <v>139376.7</v>
      </c>
      <c r="AW27" s="92">
        <v>7211096.82</v>
      </c>
      <c r="AX27" s="3">
        <f>AU27-AV27-AW27</f>
        <v>68317160.96000001</v>
      </c>
      <c r="AY27" s="3">
        <f>AX27/1000</f>
        <v>68317.16096000001</v>
      </c>
      <c r="BA27" s="247">
        <v>20251</v>
      </c>
      <c r="BB27" s="3">
        <v>7190845.82</v>
      </c>
      <c r="BC27" s="3">
        <f>SUM(BA27:BB27)</f>
        <v>7211096.82</v>
      </c>
      <c r="BE27" s="3">
        <v>81815590.89</v>
      </c>
      <c r="BF27" s="92">
        <v>476606.9</v>
      </c>
      <c r="BG27" s="156">
        <f>BM27</f>
        <v>7226502.4</v>
      </c>
      <c r="BH27" s="3">
        <f>BE27-BF27-BG27</f>
        <v>74112481.58999999</v>
      </c>
      <c r="BI27" s="3">
        <f>BH27/1000</f>
        <v>74112.48159</v>
      </c>
      <c r="BK27" s="247">
        <v>3335234.4</v>
      </c>
      <c r="BL27" s="3">
        <v>3891268</v>
      </c>
      <c r="BM27" s="3">
        <f>SUM(BK27:BL27)</f>
        <v>7226502.4</v>
      </c>
      <c r="BO27" s="247">
        <v>2884203.13</v>
      </c>
      <c r="BP27" s="3">
        <v>4585652</v>
      </c>
      <c r="BQ27" s="3">
        <f>SUM(BO27:BP27)</f>
        <v>7469855.13</v>
      </c>
      <c r="BS27" s="3">
        <v>88301354.89</v>
      </c>
      <c r="BT27" s="3">
        <v>854637.97</v>
      </c>
      <c r="BU27" s="3">
        <v>2884203.13</v>
      </c>
      <c r="BV27" s="3">
        <f>BS27-BT27-BU27</f>
        <v>84562513.79</v>
      </c>
      <c r="BW27" s="3">
        <f>BV27/1000</f>
        <v>84562.51379000001</v>
      </c>
      <c r="BY27" s="3">
        <v>95120095.36999999</v>
      </c>
      <c r="BZ27" s="3">
        <v>67007</v>
      </c>
      <c r="CA27" s="3">
        <v>8430665.35</v>
      </c>
      <c r="CB27" s="3">
        <f>BY27-BZ27-CA27</f>
        <v>86622423.02</v>
      </c>
      <c r="CC27" s="3">
        <f>CB27/1000</f>
        <v>86622.42302</v>
      </c>
      <c r="CE27" s="3">
        <v>96773132.62</v>
      </c>
      <c r="CF27" s="3">
        <v>87768</v>
      </c>
      <c r="CG27" s="3">
        <v>8987678.09</v>
      </c>
      <c r="CH27" s="3">
        <f>CE27-CF27-CG27</f>
        <v>87697686.53</v>
      </c>
      <c r="CI27" s="3">
        <f>CH27/1000</f>
        <v>87697.68653</v>
      </c>
    </row>
    <row r="28" spans="1:87" ht="12.75">
      <c r="A28" s="1" t="s">
        <v>20</v>
      </c>
      <c r="B28" s="1">
        <v>1850</v>
      </c>
      <c r="C28" s="1">
        <v>1981</v>
      </c>
      <c r="D28" s="1">
        <v>2206</v>
      </c>
      <c r="E28" s="1">
        <v>2117</v>
      </c>
      <c r="F28" s="1">
        <v>2389</v>
      </c>
      <c r="G28" s="1">
        <v>2473.13535</v>
      </c>
      <c r="H28" s="1">
        <v>2640.33715</v>
      </c>
      <c r="I28" s="1">
        <v>2611.6748900000002</v>
      </c>
      <c r="J28" s="1">
        <v>2943.3426200000004</v>
      </c>
      <c r="K28" s="1">
        <v>3116.64595</v>
      </c>
      <c r="L28" s="246">
        <f>(K28-J28)*100/J28</f>
        <v>5.887976779271443</v>
      </c>
      <c r="M28" s="48">
        <f>(K28-AC28)*100/AC28</f>
        <v>89.69238892270238</v>
      </c>
      <c r="N28" s="14">
        <v>576</v>
      </c>
      <c r="O28" s="14">
        <v>625</v>
      </c>
      <c r="P28" s="14">
        <v>717</v>
      </c>
      <c r="Q28" s="14">
        <v>772</v>
      </c>
      <c r="R28" s="14">
        <v>841</v>
      </c>
      <c r="S28" s="14">
        <v>904</v>
      </c>
      <c r="T28" s="14">
        <v>1002</v>
      </c>
      <c r="U28" s="14">
        <v>970</v>
      </c>
      <c r="V28" s="14">
        <v>1097</v>
      </c>
      <c r="W28" s="14">
        <v>1162</v>
      </c>
      <c r="X28" s="208">
        <v>1289</v>
      </c>
      <c r="Y28" s="14">
        <v>1337</v>
      </c>
      <c r="Z28" s="14">
        <v>1386</v>
      </c>
      <c r="AA28" s="3">
        <v>1653</v>
      </c>
      <c r="AB28" s="14">
        <v>1505</v>
      </c>
      <c r="AC28" s="1">
        <v>1643</v>
      </c>
      <c r="AD28" s="14"/>
      <c r="AE28" s="3">
        <v>2196101.49</v>
      </c>
      <c r="AF28" s="3">
        <v>15514.84</v>
      </c>
      <c r="AG28" s="92">
        <v>63179</v>
      </c>
      <c r="AH28" s="3">
        <f>AE28-AF28-AG28</f>
        <v>2117407.6500000004</v>
      </c>
      <c r="AI28" s="3">
        <f>AH28/1000</f>
        <v>2117.4076500000006</v>
      </c>
      <c r="AK28" s="3">
        <v>2449149.07</v>
      </c>
      <c r="AL28" s="92">
        <v>2999</v>
      </c>
      <c r="AM28" s="92">
        <v>56897</v>
      </c>
      <c r="AN28" s="3">
        <f>AK28-AL28-AM28</f>
        <v>2389253.07</v>
      </c>
      <c r="AO28" s="3">
        <f>AN28/1000</f>
        <v>2389.2530699999998</v>
      </c>
      <c r="AQ28" s="3">
        <v>0</v>
      </c>
      <c r="AR28" s="3">
        <v>56897</v>
      </c>
      <c r="AS28" s="3">
        <f>SUM(AQ28:AR28)</f>
        <v>56897</v>
      </c>
      <c r="AU28" s="3">
        <v>2605619.35</v>
      </c>
      <c r="AV28" s="92">
        <v>7261</v>
      </c>
      <c r="AW28" s="92">
        <v>125223</v>
      </c>
      <c r="AX28" s="3">
        <f>AU28-AV28-AW28</f>
        <v>2473135.35</v>
      </c>
      <c r="AY28" s="3">
        <f>AX28/1000</f>
        <v>2473.13535</v>
      </c>
      <c r="BA28" s="247">
        <v>14833</v>
      </c>
      <c r="BB28" s="3">
        <v>110390</v>
      </c>
      <c r="BC28" s="3">
        <f>SUM(BA28:BB28)</f>
        <v>125223</v>
      </c>
      <c r="BE28" s="3">
        <v>2783494.54</v>
      </c>
      <c r="BF28" s="92">
        <v>3938.39</v>
      </c>
      <c r="BG28" s="156">
        <f>BM28</f>
        <v>139219</v>
      </c>
      <c r="BH28" s="3">
        <f>BE28-BF28-BG28</f>
        <v>2640337.15</v>
      </c>
      <c r="BI28" s="3">
        <f>BH28/1000</f>
        <v>2640.33715</v>
      </c>
      <c r="BK28" s="247">
        <v>0</v>
      </c>
      <c r="BL28" s="3">
        <v>139219</v>
      </c>
      <c r="BM28" s="3">
        <f>SUM(BK28:BL28)</f>
        <v>139219</v>
      </c>
      <c r="BO28" s="247">
        <v>0</v>
      </c>
      <c r="BP28" s="3">
        <v>20207</v>
      </c>
      <c r="BQ28" s="3">
        <f>SUM(BO28:BP28)</f>
        <v>20207</v>
      </c>
      <c r="BS28" s="3">
        <v>2613601.6</v>
      </c>
      <c r="BT28" s="3">
        <v>1926.71</v>
      </c>
      <c r="BU28" s="3">
        <v>0</v>
      </c>
      <c r="BV28" s="3">
        <f>BS28-BT28-BU28</f>
        <v>2611674.89</v>
      </c>
      <c r="BW28" s="3">
        <f>BV28/1000</f>
        <v>2611.6748900000002</v>
      </c>
      <c r="BY28" s="3">
        <v>2966597.6200000006</v>
      </c>
      <c r="BZ28" s="3">
        <v>1550</v>
      </c>
      <c r="CA28" s="3">
        <v>21705</v>
      </c>
      <c r="CB28" s="3">
        <f>BY28-BZ28-CA28</f>
        <v>2943342.6200000006</v>
      </c>
      <c r="CC28" s="3">
        <f>CB28/1000</f>
        <v>2943.3426200000004</v>
      </c>
      <c r="CE28" s="3">
        <v>3243504.4699999997</v>
      </c>
      <c r="CF28" s="3">
        <v>87484.51000000001</v>
      </c>
      <c r="CG28" s="3">
        <v>39374.009999999995</v>
      </c>
      <c r="CH28" s="3">
        <f>CE28-CF28-CG28</f>
        <v>3116645.95</v>
      </c>
      <c r="CI28" s="3">
        <f>CH28/1000</f>
        <v>3116.64595</v>
      </c>
    </row>
    <row r="29" spans="12:67" ht="12.75">
      <c r="L29" s="48"/>
      <c r="M29" s="48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08"/>
      <c r="Y29" s="14"/>
      <c r="Z29" s="14"/>
      <c r="AA29" s="3"/>
      <c r="AB29" s="14"/>
      <c r="AD29" s="14"/>
      <c r="AG29" s="92"/>
      <c r="AL29" s="92"/>
      <c r="AM29" s="92"/>
      <c r="AV29" s="92"/>
      <c r="AW29" s="92"/>
      <c r="BA29" s="247"/>
      <c r="BF29" s="92"/>
      <c r="BG29" s="92"/>
      <c r="BK29" s="247"/>
      <c r="BO29" s="247"/>
    </row>
    <row r="30" spans="1:87" ht="12.75">
      <c r="A30" s="1" t="s">
        <v>21</v>
      </c>
      <c r="B30" s="1">
        <v>120506</v>
      </c>
      <c r="C30" s="1">
        <v>130693</v>
      </c>
      <c r="D30" s="1">
        <v>140568</v>
      </c>
      <c r="E30" s="1">
        <v>149381</v>
      </c>
      <c r="F30" s="1">
        <v>162674</v>
      </c>
      <c r="G30" s="1">
        <v>175883.92051000003</v>
      </c>
      <c r="H30" s="1">
        <v>192531.22100999995</v>
      </c>
      <c r="I30" s="1">
        <v>207837.03132000018</v>
      </c>
      <c r="J30" s="1">
        <v>221655.70614000002</v>
      </c>
      <c r="K30" s="1">
        <v>236087.23928999994</v>
      </c>
      <c r="L30" s="246">
        <f>(K30-J30)*100/J30</f>
        <v>6.510788015033013</v>
      </c>
      <c r="M30" s="48">
        <f>(K30-AC30)*100/AC30</f>
        <v>115.10777772817138</v>
      </c>
      <c r="N30" s="14">
        <v>41206</v>
      </c>
      <c r="O30" s="14">
        <v>38568</v>
      </c>
      <c r="P30" s="14">
        <v>41858</v>
      </c>
      <c r="Q30" s="14">
        <v>47379</v>
      </c>
      <c r="R30" s="14">
        <v>51935</v>
      </c>
      <c r="S30" s="14">
        <v>57575</v>
      </c>
      <c r="T30" s="14">
        <v>63257</v>
      </c>
      <c r="U30" s="14">
        <v>64542</v>
      </c>
      <c r="V30" s="14">
        <v>66567</v>
      </c>
      <c r="W30" s="14">
        <v>70805</v>
      </c>
      <c r="X30" s="208">
        <v>76286</v>
      </c>
      <c r="Y30" s="14">
        <v>79832</v>
      </c>
      <c r="Z30" s="14">
        <v>84710</v>
      </c>
      <c r="AA30" s="3">
        <v>93711</v>
      </c>
      <c r="AB30" s="14">
        <v>103122</v>
      </c>
      <c r="AC30" s="1">
        <v>109753</v>
      </c>
      <c r="AD30" s="14"/>
      <c r="AE30" s="3">
        <v>178954324</v>
      </c>
      <c r="AF30" s="3">
        <v>191584.28</v>
      </c>
      <c r="AG30" s="92">
        <v>29381340</v>
      </c>
      <c r="AH30" s="3">
        <f>AE30-AF30-AG30</f>
        <v>149381399.72</v>
      </c>
      <c r="AI30" s="3">
        <f>AH30/1000</f>
        <v>149381.39972</v>
      </c>
      <c r="AK30" s="3">
        <v>193923456</v>
      </c>
      <c r="AL30" s="92">
        <v>230887.82</v>
      </c>
      <c r="AM30" s="92">
        <v>31019017</v>
      </c>
      <c r="AN30" s="3">
        <f>AK30-AL30-AM30</f>
        <v>162673551.18</v>
      </c>
      <c r="AO30" s="3">
        <f>AN30/1000</f>
        <v>162673.55118</v>
      </c>
      <c r="AQ30" s="3">
        <v>30927436</v>
      </c>
      <c r="AR30" s="3">
        <v>91581</v>
      </c>
      <c r="AS30" s="3">
        <f>SUM(AQ30:AR30)</f>
        <v>31019017</v>
      </c>
      <c r="AU30" s="3">
        <v>208211238.27</v>
      </c>
      <c r="AV30" s="92">
        <v>967728</v>
      </c>
      <c r="AW30" s="92">
        <v>31359589.76</v>
      </c>
      <c r="AX30" s="3">
        <f>AU30-AV30-AW30</f>
        <v>175883920.51000002</v>
      </c>
      <c r="AY30" s="3">
        <f>AX30/1000</f>
        <v>175883.92051000003</v>
      </c>
      <c r="BA30" s="247">
        <v>31259393.76</v>
      </c>
      <c r="BB30" s="3">
        <v>100196</v>
      </c>
      <c r="BC30" s="3">
        <f>SUM(BA30:BB30)</f>
        <v>31359589.76</v>
      </c>
      <c r="BE30" s="3">
        <v>225898273.28999996</v>
      </c>
      <c r="BF30" s="92">
        <v>316349.01</v>
      </c>
      <c r="BG30" s="156">
        <f>BM30</f>
        <v>33050703.27</v>
      </c>
      <c r="BH30" s="3">
        <f>BE30-BF30-BG30</f>
        <v>192531221.00999996</v>
      </c>
      <c r="BI30" s="3">
        <f>BH30/1000</f>
        <v>192531.22100999995</v>
      </c>
      <c r="BK30" s="247">
        <v>32941497.83</v>
      </c>
      <c r="BL30" s="3">
        <v>109205.44</v>
      </c>
      <c r="BM30" s="3">
        <f>SUM(BK30:BL30)</f>
        <v>33050703.27</v>
      </c>
      <c r="BO30" s="247">
        <v>37656847.95</v>
      </c>
      <c r="BP30" s="3">
        <v>102687.16</v>
      </c>
      <c r="BQ30" s="3">
        <f>SUM(BO30:BP30)</f>
        <v>37759535.11</v>
      </c>
      <c r="BS30" s="3">
        <v>245730891.94000018</v>
      </c>
      <c r="BT30" s="3">
        <v>237012.67</v>
      </c>
      <c r="BU30" s="3">
        <v>37656847.95</v>
      </c>
      <c r="BV30" s="3">
        <f>BS30-BT30-BU30</f>
        <v>207837031.32000017</v>
      </c>
      <c r="BW30" s="3">
        <f>BV30/1000</f>
        <v>207837.03132000018</v>
      </c>
      <c r="BY30" s="3">
        <v>262482047.85000002</v>
      </c>
      <c r="BZ30" s="3">
        <v>106646.37</v>
      </c>
      <c r="CA30" s="3">
        <v>40719695.34</v>
      </c>
      <c r="CB30" s="3">
        <f>BY30-BZ30-CA30</f>
        <v>221655706.14000002</v>
      </c>
      <c r="CC30" s="3">
        <f>CB30/1000</f>
        <v>221655.70614000002</v>
      </c>
      <c r="CE30" s="3">
        <v>273565946.29999995</v>
      </c>
      <c r="CF30" s="3">
        <v>2093648.17</v>
      </c>
      <c r="CG30" s="3">
        <v>35385058.839999996</v>
      </c>
      <c r="CH30" s="3">
        <f>CE30-CF30-CG30</f>
        <v>236087239.28999993</v>
      </c>
      <c r="CI30" s="3">
        <f>CH30/1000</f>
        <v>236087.23928999994</v>
      </c>
    </row>
    <row r="31" spans="1:87" ht="12.75">
      <c r="A31" s="1" t="s">
        <v>22</v>
      </c>
      <c r="B31" s="1">
        <v>93259</v>
      </c>
      <c r="C31" s="1">
        <v>101191</v>
      </c>
      <c r="D31" s="1">
        <v>108284</v>
      </c>
      <c r="E31" s="1">
        <v>105112</v>
      </c>
      <c r="F31" s="1">
        <v>110686</v>
      </c>
      <c r="G31" s="1">
        <v>123107.16812999996</v>
      </c>
      <c r="H31" s="1">
        <v>150876.18141000002</v>
      </c>
      <c r="I31" s="1">
        <v>175141.38151</v>
      </c>
      <c r="J31" s="1">
        <v>180490.27937</v>
      </c>
      <c r="K31" s="1">
        <v>186225.26088999998</v>
      </c>
      <c r="L31" s="246">
        <f>(K31-J31)*100/J31</f>
        <v>3.1774461982206925</v>
      </c>
      <c r="M31" s="48">
        <f>(K31-AC31)*100/AC31</f>
        <v>115.21716521628585</v>
      </c>
      <c r="N31" s="14">
        <v>32147</v>
      </c>
      <c r="O31" s="14">
        <v>31320</v>
      </c>
      <c r="P31" s="14">
        <v>34223</v>
      </c>
      <c r="Q31" s="14">
        <v>38782</v>
      </c>
      <c r="R31" s="14">
        <v>43033</v>
      </c>
      <c r="S31" s="14">
        <v>45925</v>
      </c>
      <c r="T31" s="14">
        <v>50300</v>
      </c>
      <c r="U31" s="14">
        <v>50951</v>
      </c>
      <c r="V31" s="14">
        <v>56192</v>
      </c>
      <c r="W31" s="14">
        <v>60467</v>
      </c>
      <c r="X31" s="208">
        <v>65650</v>
      </c>
      <c r="Y31" s="14">
        <v>67823</v>
      </c>
      <c r="Z31" s="14">
        <v>70093</v>
      </c>
      <c r="AA31" s="3">
        <v>75130</v>
      </c>
      <c r="AB31" s="14">
        <v>81906</v>
      </c>
      <c r="AC31" s="1">
        <v>86529</v>
      </c>
      <c r="AD31" s="14"/>
      <c r="AE31" s="3">
        <v>153202949</v>
      </c>
      <c r="AF31" s="3">
        <v>262903.38</v>
      </c>
      <c r="AG31" s="92">
        <v>47828432</v>
      </c>
      <c r="AH31" s="3">
        <f>AE31-AF31-AG31</f>
        <v>105111613.62</v>
      </c>
      <c r="AI31" s="3">
        <f>AH31/1000</f>
        <v>105111.61362</v>
      </c>
      <c r="AK31" s="3">
        <v>162246315</v>
      </c>
      <c r="AL31" s="92">
        <v>671357.94</v>
      </c>
      <c r="AM31" s="92">
        <v>50889116</v>
      </c>
      <c r="AN31" s="3">
        <f>AK31-AL31-AM31</f>
        <v>110685841.06</v>
      </c>
      <c r="AO31" s="3">
        <f>AN31/1000</f>
        <v>110685.84106</v>
      </c>
      <c r="AQ31" s="3">
        <v>50889116</v>
      </c>
      <c r="AR31" s="3">
        <v>0</v>
      </c>
      <c r="AS31" s="3">
        <f>SUM(AQ31:AR31)</f>
        <v>50889116</v>
      </c>
      <c r="AU31" s="3">
        <v>181422328.99999997</v>
      </c>
      <c r="AV31" s="92">
        <v>1546169.74</v>
      </c>
      <c r="AW31" s="92">
        <v>56768991.13</v>
      </c>
      <c r="AX31" s="3">
        <f>AU31-AV31-AW31</f>
        <v>123107168.12999997</v>
      </c>
      <c r="AY31" s="3">
        <f>AX31/1000</f>
        <v>123107.16812999996</v>
      </c>
      <c r="BA31" s="247">
        <v>56768991.13</v>
      </c>
      <c r="BB31" s="3">
        <v>0</v>
      </c>
      <c r="BC31" s="3">
        <f>SUM(BA31:BB31)</f>
        <v>56768991.13</v>
      </c>
      <c r="BE31" s="3">
        <v>207479581.47000003</v>
      </c>
      <c r="BF31" s="92">
        <v>1159693.27</v>
      </c>
      <c r="BG31" s="156">
        <f>BM31</f>
        <v>55443706.79</v>
      </c>
      <c r="BH31" s="3">
        <f>BE31-BF31-BG31</f>
        <v>150876181.41000003</v>
      </c>
      <c r="BI31" s="3">
        <f>BH31/1000</f>
        <v>150876.18141000002</v>
      </c>
      <c r="BK31" s="247">
        <v>55443706.79</v>
      </c>
      <c r="BL31" s="3">
        <v>0</v>
      </c>
      <c r="BM31" s="3">
        <f>SUM(BK31:BL31)</f>
        <v>55443706.79</v>
      </c>
      <c r="BO31" s="247">
        <v>57061689.85</v>
      </c>
      <c r="BP31" s="3">
        <v>0</v>
      </c>
      <c r="BQ31" s="3">
        <f>SUM(BO31:BP31)</f>
        <v>57061689.85</v>
      </c>
      <c r="BS31" s="3">
        <v>233380042.51000002</v>
      </c>
      <c r="BT31" s="3">
        <v>1176971.15</v>
      </c>
      <c r="BU31" s="3">
        <v>57061689.85</v>
      </c>
      <c r="BV31" s="3">
        <f>BS31-BT31-BU31</f>
        <v>175141381.51000002</v>
      </c>
      <c r="BW31" s="3">
        <f>BV31/1000</f>
        <v>175141.38151</v>
      </c>
      <c r="BY31" s="3">
        <v>237994126.12</v>
      </c>
      <c r="BZ31" s="3">
        <v>41938.97</v>
      </c>
      <c r="CA31" s="3">
        <v>57461907.78</v>
      </c>
      <c r="CB31" s="3">
        <f>BY31-BZ31-CA31</f>
        <v>180490279.37</v>
      </c>
      <c r="CC31" s="3">
        <f>CB31/1000</f>
        <v>180490.27937</v>
      </c>
      <c r="CE31" s="3">
        <v>241835253.71999997</v>
      </c>
      <c r="CF31" s="3">
        <v>223257.59999999998</v>
      </c>
      <c r="CG31" s="3">
        <v>55386735.23</v>
      </c>
      <c r="CH31" s="3">
        <f>CE31-CF31-CG31</f>
        <v>186225260.89</v>
      </c>
      <c r="CI31" s="3">
        <f>CH31/1000</f>
        <v>186225.26088999998</v>
      </c>
    </row>
    <row r="32" spans="1:87" ht="12.75">
      <c r="A32" s="1" t="s">
        <v>23</v>
      </c>
      <c r="B32" s="1">
        <v>4206</v>
      </c>
      <c r="C32" s="1">
        <v>4774</v>
      </c>
      <c r="D32" s="1">
        <v>5165</v>
      </c>
      <c r="E32" s="1">
        <v>5554</v>
      </c>
      <c r="F32" s="1">
        <v>5883</v>
      </c>
      <c r="G32" s="1">
        <v>6506.3838399999995</v>
      </c>
      <c r="H32" s="1">
        <v>6527.11104</v>
      </c>
      <c r="I32" s="1">
        <v>7365.7436</v>
      </c>
      <c r="J32" s="1">
        <v>7828.1399200000005</v>
      </c>
      <c r="K32" s="1">
        <v>8630.58123</v>
      </c>
      <c r="L32" s="246">
        <f>(K32-J32)*100/J32</f>
        <v>10.250727736097993</v>
      </c>
      <c r="M32" s="48">
        <f>(K32-AC32)*100/AC32</f>
        <v>127.6597528356634</v>
      </c>
      <c r="N32" s="14">
        <v>918</v>
      </c>
      <c r="O32" s="14">
        <v>1130</v>
      </c>
      <c r="P32" s="14">
        <v>1451</v>
      </c>
      <c r="Q32" s="14">
        <v>1574</v>
      </c>
      <c r="R32" s="14">
        <v>1454</v>
      </c>
      <c r="S32" s="14">
        <v>1602</v>
      </c>
      <c r="T32" s="14">
        <v>1863</v>
      </c>
      <c r="U32" s="14">
        <v>1895</v>
      </c>
      <c r="V32" s="14">
        <v>2343</v>
      </c>
      <c r="W32" s="14">
        <v>2463</v>
      </c>
      <c r="X32" s="14">
        <v>2492</v>
      </c>
      <c r="Y32" s="14">
        <v>2685</v>
      </c>
      <c r="Z32" s="14">
        <v>2921</v>
      </c>
      <c r="AA32" s="14">
        <v>3093</v>
      </c>
      <c r="AB32" s="14">
        <v>3590</v>
      </c>
      <c r="AC32" s="1">
        <v>3791</v>
      </c>
      <c r="AD32" s="14"/>
      <c r="AE32" s="3">
        <v>6329760</v>
      </c>
      <c r="AF32" s="3">
        <v>27216.53</v>
      </c>
      <c r="AG32" s="92">
        <v>748786.09</v>
      </c>
      <c r="AH32" s="3">
        <f>AE32-AF32-AG32</f>
        <v>5553757.38</v>
      </c>
      <c r="AI32" s="3">
        <f>AH32/1000</f>
        <v>5553.75738</v>
      </c>
      <c r="AK32" s="3">
        <v>6836887</v>
      </c>
      <c r="AL32" s="92">
        <v>6686.2</v>
      </c>
      <c r="AM32" s="92">
        <v>947180</v>
      </c>
      <c r="AN32" s="3">
        <f>AK32-AL32-AM32</f>
        <v>5883020.8</v>
      </c>
      <c r="AO32" s="3">
        <f>AN32/1000</f>
        <v>5883.0208</v>
      </c>
      <c r="AQ32" s="3">
        <v>947180</v>
      </c>
      <c r="AR32" s="3">
        <v>0</v>
      </c>
      <c r="AS32" s="3">
        <f>SUM(AQ32:AR32)</f>
        <v>947180</v>
      </c>
      <c r="AU32" s="3">
        <v>7251930.449999999</v>
      </c>
      <c r="AV32" s="92">
        <v>11604.1</v>
      </c>
      <c r="AW32" s="92">
        <v>733942.51</v>
      </c>
      <c r="AX32" s="3">
        <f>AU32-AV32-AW32</f>
        <v>6506383.84</v>
      </c>
      <c r="AY32" s="3">
        <f>AX32/1000</f>
        <v>6506.3838399999995</v>
      </c>
      <c r="BA32" s="247">
        <v>733942.51</v>
      </c>
      <c r="BB32" s="3">
        <v>0</v>
      </c>
      <c r="BC32" s="3">
        <f>SUM(BA32:BB32)</f>
        <v>733942.51</v>
      </c>
      <c r="BE32" s="3">
        <v>7323127.69</v>
      </c>
      <c r="BF32" s="92">
        <v>14624.49</v>
      </c>
      <c r="BG32" s="156">
        <f>BM32</f>
        <v>781392.16</v>
      </c>
      <c r="BH32" s="3">
        <f>BE32-BF32-BG32</f>
        <v>6527111.04</v>
      </c>
      <c r="BI32" s="3">
        <f>BH32/1000</f>
        <v>6527.11104</v>
      </c>
      <c r="BK32" s="247">
        <v>0</v>
      </c>
      <c r="BL32" s="3">
        <v>781392.16</v>
      </c>
      <c r="BM32" s="3">
        <f>SUM(BK32:BL32)</f>
        <v>781392.16</v>
      </c>
      <c r="BO32" s="247">
        <v>699281.7</v>
      </c>
      <c r="BP32" s="3">
        <v>0</v>
      </c>
      <c r="BQ32" s="3">
        <f>SUM(BO32:BP32)</f>
        <v>699281.7</v>
      </c>
      <c r="BS32" s="3">
        <v>8083710.66</v>
      </c>
      <c r="BT32" s="3">
        <v>18685.36</v>
      </c>
      <c r="BU32" s="3">
        <v>699281.7</v>
      </c>
      <c r="BV32" s="3">
        <f>BS32-BT32-BU32</f>
        <v>7365743.6</v>
      </c>
      <c r="BW32" s="3">
        <f>BV32/1000</f>
        <v>7365.7436</v>
      </c>
      <c r="BY32" s="3">
        <v>8494346.32</v>
      </c>
      <c r="BZ32" s="3">
        <v>69620.11</v>
      </c>
      <c r="CA32" s="3">
        <v>596586.29</v>
      </c>
      <c r="CB32" s="3">
        <f>BY32-BZ32-CA32</f>
        <v>7828139.920000001</v>
      </c>
      <c r="CC32" s="3">
        <f>CB32/1000</f>
        <v>7828.1399200000005</v>
      </c>
      <c r="CE32" s="3">
        <v>9186900.75</v>
      </c>
      <c r="CF32" s="3">
        <v>58012.51</v>
      </c>
      <c r="CG32" s="3">
        <v>498307.01</v>
      </c>
      <c r="CH32" s="3">
        <f>CE32-CF32-CG32</f>
        <v>8630581.23</v>
      </c>
      <c r="CI32" s="3">
        <f>CH32/1000</f>
        <v>8630.58123</v>
      </c>
    </row>
    <row r="33" spans="1:87" ht="12.75">
      <c r="A33" s="1" t="s">
        <v>24</v>
      </c>
      <c r="B33" s="1">
        <v>10405</v>
      </c>
      <c r="C33" s="1">
        <v>11463</v>
      </c>
      <c r="D33" s="1">
        <v>12344</v>
      </c>
      <c r="E33" s="1">
        <v>12819</v>
      </c>
      <c r="F33" s="1">
        <v>14006</v>
      </c>
      <c r="G33" s="1">
        <v>14659.3299</v>
      </c>
      <c r="H33" s="1">
        <v>15597.78905</v>
      </c>
      <c r="I33" s="1">
        <v>16196.234540000001</v>
      </c>
      <c r="J33" s="1">
        <v>17527.13802</v>
      </c>
      <c r="K33" s="1">
        <v>20181.464640000002</v>
      </c>
      <c r="L33" s="246">
        <f>(K33-J33)*100/J33</f>
        <v>15.144096069598953</v>
      </c>
      <c r="M33" s="48">
        <f>(K33-AC33)*100/AC33</f>
        <v>107.43616651248846</v>
      </c>
      <c r="N33" s="14">
        <v>2918</v>
      </c>
      <c r="O33" s="14">
        <v>3758</v>
      </c>
      <c r="P33" s="14">
        <v>3773</v>
      </c>
      <c r="Q33" s="14">
        <v>4201</v>
      </c>
      <c r="R33" s="14">
        <v>4643</v>
      </c>
      <c r="S33" s="14">
        <v>4977</v>
      </c>
      <c r="T33" s="14">
        <v>5540</v>
      </c>
      <c r="U33" s="14">
        <v>5831</v>
      </c>
      <c r="V33" s="14">
        <v>6027</v>
      </c>
      <c r="W33" s="14">
        <v>6222</v>
      </c>
      <c r="X33" s="14">
        <v>6568</v>
      </c>
      <c r="Y33" s="14">
        <v>6891</v>
      </c>
      <c r="Z33" s="14">
        <v>7410</v>
      </c>
      <c r="AA33" s="14">
        <v>8050</v>
      </c>
      <c r="AB33" s="14">
        <v>9129</v>
      </c>
      <c r="AC33" s="1">
        <v>9729</v>
      </c>
      <c r="AD33" s="14"/>
      <c r="AE33" s="3">
        <v>14268196</v>
      </c>
      <c r="AF33" s="3">
        <v>75165</v>
      </c>
      <c r="AG33" s="92">
        <v>1373877.74</v>
      </c>
      <c r="AH33" s="3">
        <f>AE33-AF33-AG33</f>
        <v>12819153.26</v>
      </c>
      <c r="AI33" s="3">
        <f>AH33/1000</f>
        <v>12819.15326</v>
      </c>
      <c r="AK33" s="3">
        <v>15664804</v>
      </c>
      <c r="AL33" s="92">
        <v>0</v>
      </c>
      <c r="AM33" s="92">
        <v>1659207</v>
      </c>
      <c r="AN33" s="3">
        <f>AK33-AL33-AM33</f>
        <v>14005597</v>
      </c>
      <c r="AO33" s="3">
        <f>AN33/1000</f>
        <v>14005.597</v>
      </c>
      <c r="AQ33" s="3">
        <v>1659207</v>
      </c>
      <c r="AR33" s="3">
        <v>0</v>
      </c>
      <c r="AS33" s="3">
        <f>SUM(AQ33:AR33)</f>
        <v>1659207</v>
      </c>
      <c r="AU33" s="3">
        <v>16539668.41</v>
      </c>
      <c r="AV33" s="92">
        <v>0</v>
      </c>
      <c r="AW33" s="92">
        <v>1880338.51</v>
      </c>
      <c r="AX33" s="3">
        <f>AU33-AV33-AW33</f>
        <v>14659329.9</v>
      </c>
      <c r="AY33" s="3">
        <f>AX33/1000</f>
        <v>14659.3299</v>
      </c>
      <c r="BA33" s="247">
        <v>1846417.51</v>
      </c>
      <c r="BB33" s="3">
        <v>33921</v>
      </c>
      <c r="BC33" s="3">
        <f>SUM(BA33:BB33)</f>
        <v>1880338.51</v>
      </c>
      <c r="BE33" s="3">
        <v>17926252.79</v>
      </c>
      <c r="BF33" s="92">
        <v>58600</v>
      </c>
      <c r="BG33" s="156">
        <f>BM33</f>
        <v>2269863.74</v>
      </c>
      <c r="BH33" s="3">
        <f>BE33-BF33-BG33</f>
        <v>15597789.049999999</v>
      </c>
      <c r="BI33" s="3">
        <f>BH33/1000</f>
        <v>15597.78905</v>
      </c>
      <c r="BK33" s="247">
        <v>1746423.61</v>
      </c>
      <c r="BL33" s="3">
        <v>523440.13</v>
      </c>
      <c r="BM33" s="3">
        <f>SUM(BK33:BL33)</f>
        <v>2269863.74</v>
      </c>
      <c r="BO33" s="247">
        <v>1360022.76</v>
      </c>
      <c r="BP33" s="3">
        <v>93244.35</v>
      </c>
      <c r="BQ33" s="3">
        <f>SUM(BO33:BP33)</f>
        <v>1453267.11</v>
      </c>
      <c r="BS33" s="3">
        <v>17556257.3</v>
      </c>
      <c r="BT33" s="3">
        <v>0</v>
      </c>
      <c r="BU33" s="3">
        <v>1360022.76</v>
      </c>
      <c r="BV33" s="3">
        <f>BS33-BT33-BU33</f>
        <v>16196234.540000001</v>
      </c>
      <c r="BW33" s="3">
        <f>BV33/1000</f>
        <v>16196.234540000001</v>
      </c>
      <c r="BY33" s="3">
        <v>19316980.67</v>
      </c>
      <c r="BZ33" s="3">
        <v>23898.85</v>
      </c>
      <c r="CA33" s="3">
        <v>1765943.8</v>
      </c>
      <c r="CB33" s="3">
        <f>BY33-BZ33-CA33</f>
        <v>17527138.02</v>
      </c>
      <c r="CC33" s="3">
        <f>CB33/1000</f>
        <v>17527.13802</v>
      </c>
      <c r="CE33" s="3">
        <v>21678078.03</v>
      </c>
      <c r="CF33" s="3">
        <v>28177.85</v>
      </c>
      <c r="CG33" s="3">
        <v>1468435.54</v>
      </c>
      <c r="CH33" s="3">
        <f>CE33-CF33-CG33</f>
        <v>20181464.64</v>
      </c>
      <c r="CI33" s="3">
        <f>CH33/1000</f>
        <v>20181.464640000002</v>
      </c>
    </row>
    <row r="34" spans="1:87" ht="12.75">
      <c r="A34" s="1" t="s">
        <v>25</v>
      </c>
      <c r="B34" s="1">
        <v>1844</v>
      </c>
      <c r="C34" s="1">
        <v>2036</v>
      </c>
      <c r="D34" s="1">
        <v>2234</v>
      </c>
      <c r="E34" s="1">
        <v>2314</v>
      </c>
      <c r="F34" s="1">
        <v>2327</v>
      </c>
      <c r="G34" s="1">
        <v>2483.1027899999995</v>
      </c>
      <c r="H34" s="1">
        <v>2698.78694</v>
      </c>
      <c r="I34" s="1">
        <v>3114.6725</v>
      </c>
      <c r="J34" s="1">
        <v>3241.2387299999996</v>
      </c>
      <c r="K34" s="1">
        <v>3579.9817000000003</v>
      </c>
      <c r="L34" s="246">
        <f>(K34-J34)*100/J34</f>
        <v>10.45103425627648</v>
      </c>
      <c r="M34" s="48">
        <f>(K34-AC34)*100/AC34</f>
        <v>103.29254400908577</v>
      </c>
      <c r="N34" s="14">
        <v>650</v>
      </c>
      <c r="O34" s="14">
        <v>742</v>
      </c>
      <c r="P34" s="14">
        <v>802</v>
      </c>
      <c r="Q34" s="14">
        <v>964</v>
      </c>
      <c r="R34" s="14">
        <v>1091</v>
      </c>
      <c r="S34" s="14">
        <v>1232</v>
      </c>
      <c r="T34" s="14">
        <v>1349</v>
      </c>
      <c r="U34" s="14">
        <v>1365</v>
      </c>
      <c r="V34" s="14">
        <v>1462</v>
      </c>
      <c r="W34" s="14">
        <v>1541</v>
      </c>
      <c r="X34" s="14">
        <v>1523</v>
      </c>
      <c r="Y34" s="14">
        <v>1572</v>
      </c>
      <c r="Z34" s="14">
        <v>1532</v>
      </c>
      <c r="AA34" s="14">
        <v>1505</v>
      </c>
      <c r="AB34" s="14">
        <v>1684</v>
      </c>
      <c r="AC34" s="1">
        <v>1761</v>
      </c>
      <c r="AD34" s="14"/>
      <c r="AE34" s="3">
        <v>2526433.88</v>
      </c>
      <c r="AF34" s="3">
        <v>103289.67</v>
      </c>
      <c r="AG34" s="92">
        <v>109411.2</v>
      </c>
      <c r="AH34" s="3">
        <f>AE34-AF34-AG34</f>
        <v>2313733.01</v>
      </c>
      <c r="AI34" s="3">
        <f>AH34/1000</f>
        <v>2313.73301</v>
      </c>
      <c r="AK34" s="3">
        <v>2347501.28</v>
      </c>
      <c r="AL34" s="92">
        <v>3229.86</v>
      </c>
      <c r="AM34" s="92">
        <v>16853</v>
      </c>
      <c r="AN34" s="3">
        <f>AK34-AL34-AM34</f>
        <v>2327418.42</v>
      </c>
      <c r="AO34" s="3">
        <f>AN34/1000</f>
        <v>2327.41842</v>
      </c>
      <c r="AQ34" s="3">
        <v>16853</v>
      </c>
      <c r="AR34" s="3">
        <v>0</v>
      </c>
      <c r="AS34" s="3">
        <f>SUM(AQ34:AR34)</f>
        <v>16853</v>
      </c>
      <c r="AU34" s="3">
        <v>2501870.26</v>
      </c>
      <c r="AV34" s="92">
        <v>15842.47</v>
      </c>
      <c r="AW34" s="92">
        <v>2925</v>
      </c>
      <c r="AX34" s="3">
        <f>AU34-AV34-AW34</f>
        <v>2483102.7899999996</v>
      </c>
      <c r="AY34" s="3">
        <f>AX34/1000</f>
        <v>2483.1027899999995</v>
      </c>
      <c r="BA34" s="247">
        <v>0</v>
      </c>
      <c r="BB34" s="3">
        <v>2925</v>
      </c>
      <c r="BC34" s="3">
        <f>SUM(BA34:BB34)</f>
        <v>2925</v>
      </c>
      <c r="BE34" s="3">
        <v>2701041.16</v>
      </c>
      <c r="BF34" s="92">
        <v>2254.22</v>
      </c>
      <c r="BG34" s="156">
        <f>BM34</f>
        <v>0</v>
      </c>
      <c r="BH34" s="3">
        <f>BE34-BF34-BG34</f>
        <v>2698786.94</v>
      </c>
      <c r="BI34" s="3">
        <f>BH34/1000</f>
        <v>2698.78694</v>
      </c>
      <c r="BK34" s="247">
        <v>0</v>
      </c>
      <c r="BL34" s="3">
        <v>0</v>
      </c>
      <c r="BM34" s="3">
        <f>SUM(BK34:BL34)</f>
        <v>0</v>
      </c>
      <c r="BO34" s="247">
        <v>0</v>
      </c>
      <c r="BP34" s="3">
        <v>0</v>
      </c>
      <c r="BQ34" s="3">
        <f>SUM(BO34:BP34)</f>
        <v>0</v>
      </c>
      <c r="BS34" s="3">
        <v>3116864.84</v>
      </c>
      <c r="BT34" s="3">
        <v>2192.34</v>
      </c>
      <c r="BU34" s="3">
        <v>0</v>
      </c>
      <c r="BV34" s="3">
        <f>BS34-BT34-BU34</f>
        <v>3114672.5</v>
      </c>
      <c r="BW34" s="3">
        <f>BV34/1000</f>
        <v>3114.6725</v>
      </c>
      <c r="BY34" s="3">
        <v>3242965.4799999995</v>
      </c>
      <c r="BZ34" s="3">
        <v>1726.75</v>
      </c>
      <c r="CA34" s="3">
        <v>0</v>
      </c>
      <c r="CB34" s="3">
        <f>BY34-BZ34-CA34</f>
        <v>3241238.7299999995</v>
      </c>
      <c r="CC34" s="3">
        <f>CB34/1000</f>
        <v>3241.2387299999996</v>
      </c>
      <c r="CE34" s="3">
        <v>3617295.8200000003</v>
      </c>
      <c r="CF34" s="3">
        <v>37314.12</v>
      </c>
      <c r="CG34" s="3">
        <v>0</v>
      </c>
      <c r="CH34" s="3">
        <f>CE34-CF34-CG34</f>
        <v>3579981.7</v>
      </c>
      <c r="CI34" s="3">
        <f>CH34/1000</f>
        <v>3579.9817000000003</v>
      </c>
    </row>
    <row r="35" spans="12:67" ht="12.75">
      <c r="L35" s="48"/>
      <c r="M35" s="48"/>
      <c r="O35" s="14"/>
      <c r="P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D35" s="14"/>
      <c r="AG35" s="92"/>
      <c r="AL35" s="92"/>
      <c r="AM35" s="92"/>
      <c r="AV35" s="92"/>
      <c r="AW35" s="92"/>
      <c r="BA35" s="247"/>
      <c r="BF35" s="92"/>
      <c r="BG35" s="92"/>
      <c r="BK35" s="247"/>
      <c r="BO35" s="247"/>
    </row>
    <row r="36" spans="1:87" ht="12.75">
      <c r="A36" s="1" t="s">
        <v>26</v>
      </c>
      <c r="B36" s="1">
        <v>2587</v>
      </c>
      <c r="C36" s="1">
        <v>2905</v>
      </c>
      <c r="D36" s="1">
        <v>2903</v>
      </c>
      <c r="E36" s="1">
        <v>3138</v>
      </c>
      <c r="F36" s="1">
        <v>3218</v>
      </c>
      <c r="G36" s="1">
        <v>3202.33827</v>
      </c>
      <c r="H36" s="1">
        <v>3377.4236</v>
      </c>
      <c r="I36" s="1">
        <v>3579.11969</v>
      </c>
      <c r="J36" s="1">
        <v>3653.0369599999995</v>
      </c>
      <c r="K36" s="1">
        <v>4633.2354000000005</v>
      </c>
      <c r="L36" s="246">
        <f>(K36-J36)*100/J36</f>
        <v>26.832426026152255</v>
      </c>
      <c r="M36" s="48">
        <f>(K36-AC36)*100/AC36</f>
        <v>83.78561681872274</v>
      </c>
      <c r="N36" s="14">
        <v>902</v>
      </c>
      <c r="O36" s="14">
        <v>857</v>
      </c>
      <c r="P36" s="14">
        <v>926</v>
      </c>
      <c r="Q36" s="14">
        <v>1185</v>
      </c>
      <c r="R36" s="14">
        <v>1378</v>
      </c>
      <c r="S36" s="14">
        <v>1513</v>
      </c>
      <c r="T36" s="14">
        <v>1549</v>
      </c>
      <c r="U36" s="14">
        <v>1609</v>
      </c>
      <c r="V36" s="14">
        <v>1657</v>
      </c>
      <c r="W36" s="14">
        <v>1802</v>
      </c>
      <c r="X36" s="14">
        <v>1765</v>
      </c>
      <c r="Y36" s="14">
        <v>1903</v>
      </c>
      <c r="Z36" s="14">
        <v>2076</v>
      </c>
      <c r="AA36" s="14">
        <v>2328</v>
      </c>
      <c r="AB36" s="14">
        <v>2660</v>
      </c>
      <c r="AC36" s="1">
        <v>2521</v>
      </c>
      <c r="AD36" s="14"/>
      <c r="AE36" s="3">
        <v>3187150.24</v>
      </c>
      <c r="AF36" s="3">
        <v>48687.83</v>
      </c>
      <c r="AG36" s="92">
        <v>0</v>
      </c>
      <c r="AH36" s="3">
        <f>AE36-AF36-AG36</f>
        <v>3138462.41</v>
      </c>
      <c r="AI36" s="3">
        <f>AH36/1000</f>
        <v>3138.46241</v>
      </c>
      <c r="AK36" s="3">
        <v>3277818.98</v>
      </c>
      <c r="AL36" s="92">
        <v>59848.53</v>
      </c>
      <c r="AM36" s="92">
        <v>0</v>
      </c>
      <c r="AN36" s="3">
        <f>AK36-AL36-AM36</f>
        <v>3217970.45</v>
      </c>
      <c r="AO36" s="3">
        <f>AN36/1000</f>
        <v>3217.9704500000003</v>
      </c>
      <c r="AQ36" s="3">
        <v>0</v>
      </c>
      <c r="AR36" s="3">
        <v>0</v>
      </c>
      <c r="AS36" s="3">
        <f>SUM(AQ36:AR36)</f>
        <v>0</v>
      </c>
      <c r="AU36" s="3">
        <v>3317098.64</v>
      </c>
      <c r="AV36" s="92">
        <v>85714.22</v>
      </c>
      <c r="AW36" s="92">
        <v>29046.15</v>
      </c>
      <c r="AX36" s="3">
        <f>AU36-AV36-AW36</f>
        <v>3202338.27</v>
      </c>
      <c r="AY36" s="3">
        <f>AX36/1000</f>
        <v>3202.33827</v>
      </c>
      <c r="BA36" s="247">
        <v>29046.15</v>
      </c>
      <c r="BB36" s="3">
        <v>0</v>
      </c>
      <c r="BC36" s="3">
        <f>SUM(BA36:BB36)</f>
        <v>29046.15</v>
      </c>
      <c r="BE36" s="3">
        <v>3503793.27</v>
      </c>
      <c r="BF36" s="92">
        <v>126369.67</v>
      </c>
      <c r="BG36" s="156">
        <f>BM36</f>
        <v>0</v>
      </c>
      <c r="BH36" s="3">
        <f>BE36-BF36-BG36</f>
        <v>3377423.6</v>
      </c>
      <c r="BI36" s="3">
        <f>BH36/1000</f>
        <v>3377.4236</v>
      </c>
      <c r="BK36" s="247">
        <v>0</v>
      </c>
      <c r="BL36" s="3">
        <v>0</v>
      </c>
      <c r="BM36" s="3">
        <f>SUM(BK36:BL36)</f>
        <v>0</v>
      </c>
      <c r="BO36" s="247">
        <v>50855</v>
      </c>
      <c r="BP36" s="3">
        <v>0</v>
      </c>
      <c r="BQ36" s="3">
        <f>SUM(BO36:BP36)</f>
        <v>50855</v>
      </c>
      <c r="BS36" s="3">
        <v>3658301.6</v>
      </c>
      <c r="BT36" s="3">
        <v>28326.91</v>
      </c>
      <c r="BU36" s="3">
        <v>50855</v>
      </c>
      <c r="BV36" s="3">
        <f>BS36-BT36-BU36</f>
        <v>3579119.69</v>
      </c>
      <c r="BW36" s="3">
        <f>BV36/1000</f>
        <v>3579.11969</v>
      </c>
      <c r="BY36" s="3">
        <v>3794012.0499999993</v>
      </c>
      <c r="BZ36" s="3">
        <v>90560.69</v>
      </c>
      <c r="CA36" s="3">
        <v>50414.4</v>
      </c>
      <c r="CB36" s="3">
        <f>BY36-BZ36-CA36</f>
        <v>3653036.9599999995</v>
      </c>
      <c r="CC36" s="3">
        <f>CB36/1000</f>
        <v>3653.0369599999995</v>
      </c>
      <c r="CE36" s="3">
        <v>4653886.19</v>
      </c>
      <c r="CF36" s="3">
        <v>20650.790000000005</v>
      </c>
      <c r="CG36" s="3">
        <v>0</v>
      </c>
      <c r="CH36" s="3">
        <f>CE36-CF36-CG36</f>
        <v>4633235.4</v>
      </c>
      <c r="CI36" s="3">
        <f>CH36/1000</f>
        <v>4633.2354000000005</v>
      </c>
    </row>
    <row r="37" spans="1:87" ht="12.75">
      <c r="A37" s="1" t="s">
        <v>27</v>
      </c>
      <c r="B37" s="1">
        <v>11293</v>
      </c>
      <c r="C37" s="1">
        <v>12418</v>
      </c>
      <c r="D37" s="1">
        <v>13270</v>
      </c>
      <c r="E37" s="1">
        <v>13668</v>
      </c>
      <c r="F37" s="1">
        <v>14622</v>
      </c>
      <c r="G37" s="1">
        <v>16225.664009999999</v>
      </c>
      <c r="H37" s="1">
        <v>16569.353469999995</v>
      </c>
      <c r="I37" s="1">
        <v>19337.636049999997</v>
      </c>
      <c r="J37" s="1">
        <v>19880.392929999995</v>
      </c>
      <c r="K37" s="1">
        <v>21990.95588</v>
      </c>
      <c r="L37" s="246">
        <f>(K37-J37)*100/J37</f>
        <v>10.616304000788215</v>
      </c>
      <c r="M37" s="48">
        <f>(K37-AC37)*100/AC37</f>
        <v>107.46184792452833</v>
      </c>
      <c r="N37" s="14">
        <v>3562</v>
      </c>
      <c r="O37" s="14">
        <v>3557</v>
      </c>
      <c r="P37" s="14">
        <v>3872</v>
      </c>
      <c r="Q37" s="14">
        <v>4256</v>
      </c>
      <c r="R37" s="14">
        <v>4739</v>
      </c>
      <c r="S37" s="14">
        <v>5239</v>
      </c>
      <c r="T37" s="14">
        <v>5902</v>
      </c>
      <c r="U37" s="14">
        <v>6384</v>
      </c>
      <c r="V37" s="14">
        <v>6712</v>
      </c>
      <c r="W37" s="14">
        <v>7373</v>
      </c>
      <c r="X37" s="14">
        <v>8329</v>
      </c>
      <c r="Y37" s="14">
        <v>8521</v>
      </c>
      <c r="Z37" s="14">
        <v>8663</v>
      </c>
      <c r="AA37" s="14">
        <v>8643</v>
      </c>
      <c r="AB37" s="14">
        <v>9784</v>
      </c>
      <c r="AC37" s="1">
        <v>10600</v>
      </c>
      <c r="AD37" s="14"/>
      <c r="AE37" s="3">
        <v>17729194</v>
      </c>
      <c r="AF37" s="3">
        <v>12912.35</v>
      </c>
      <c r="AG37" s="92">
        <v>4048694</v>
      </c>
      <c r="AH37" s="3">
        <f>AE37-AF37-AG37</f>
        <v>13667587.649999999</v>
      </c>
      <c r="AI37" s="3">
        <f>AH37/1000</f>
        <v>13667.587649999998</v>
      </c>
      <c r="AK37" s="3">
        <v>18592977</v>
      </c>
      <c r="AL37" s="92">
        <v>22851</v>
      </c>
      <c r="AM37" s="92">
        <v>3948202</v>
      </c>
      <c r="AN37" s="3">
        <f>AK37-AL37-AM37</f>
        <v>14621924</v>
      </c>
      <c r="AO37" s="3">
        <f>AN37/1000</f>
        <v>14621.924</v>
      </c>
      <c r="AQ37" s="3">
        <v>3929767</v>
      </c>
      <c r="AR37" s="3">
        <v>18435</v>
      </c>
      <c r="AS37" s="3">
        <f>SUM(AQ37:AR37)</f>
        <v>3948202</v>
      </c>
      <c r="AU37" s="3">
        <v>20349320.919999998</v>
      </c>
      <c r="AV37" s="92">
        <v>195680.12</v>
      </c>
      <c r="AW37" s="92">
        <v>3927976.79</v>
      </c>
      <c r="AX37" s="3">
        <f>AU37-AV37-AW37</f>
        <v>16225664.009999998</v>
      </c>
      <c r="AY37" s="3">
        <f>AX37/1000</f>
        <v>16225.664009999999</v>
      </c>
      <c r="BA37" s="247">
        <v>3909125.79</v>
      </c>
      <c r="BB37" s="3">
        <v>18851</v>
      </c>
      <c r="BC37" s="3">
        <f>SUM(BA37:BB37)</f>
        <v>3927976.79</v>
      </c>
      <c r="BE37" s="3">
        <v>21182252.839999996</v>
      </c>
      <c r="BF37" s="92">
        <v>31513.37</v>
      </c>
      <c r="BG37" s="156">
        <f>BM37</f>
        <v>4581386</v>
      </c>
      <c r="BH37" s="3">
        <f>BE37-BF37-BG37</f>
        <v>16569353.469999995</v>
      </c>
      <c r="BI37" s="3">
        <f>BH37/1000</f>
        <v>16569.353469999995</v>
      </c>
      <c r="BK37" s="247">
        <v>4544396</v>
      </c>
      <c r="BL37" s="3">
        <v>36990</v>
      </c>
      <c r="BM37" s="3">
        <f>SUM(BK37:BL37)</f>
        <v>4581386</v>
      </c>
      <c r="BO37" s="247">
        <v>5274048</v>
      </c>
      <c r="BP37" s="3">
        <v>25311</v>
      </c>
      <c r="BQ37" s="3">
        <f>SUM(BO37:BP37)</f>
        <v>5299359</v>
      </c>
      <c r="BS37" s="3">
        <v>24743242.049999997</v>
      </c>
      <c r="BT37" s="3">
        <v>131558</v>
      </c>
      <c r="BU37" s="3">
        <v>5274048</v>
      </c>
      <c r="BV37" s="3">
        <f>BS37-BT37-BU37</f>
        <v>19337636.049999997</v>
      </c>
      <c r="BW37" s="3">
        <f>BV37/1000</f>
        <v>19337.636049999997</v>
      </c>
      <c r="BY37" s="3">
        <v>24513185.639999997</v>
      </c>
      <c r="BZ37" s="3">
        <v>72495.86</v>
      </c>
      <c r="CA37" s="3">
        <v>4560296.850000001</v>
      </c>
      <c r="CB37" s="3">
        <f>BY37-BZ37-CA37</f>
        <v>19880392.929999996</v>
      </c>
      <c r="CC37" s="3">
        <f>CB37/1000</f>
        <v>19880.392929999995</v>
      </c>
      <c r="CE37" s="3">
        <v>25553007.580000002</v>
      </c>
      <c r="CF37" s="3">
        <v>98434.7</v>
      </c>
      <c r="CG37" s="3">
        <v>3463617</v>
      </c>
      <c r="CH37" s="3">
        <f>CE37-CF37-CG37</f>
        <v>21990955.880000003</v>
      </c>
      <c r="CI37" s="3">
        <f>CH37/1000</f>
        <v>21990.95588</v>
      </c>
    </row>
    <row r="38" spans="1:87" ht="12.75">
      <c r="A38" s="1" t="s">
        <v>28</v>
      </c>
      <c r="B38" s="1">
        <v>9151</v>
      </c>
      <c r="C38" s="1">
        <v>10026</v>
      </c>
      <c r="D38" s="1">
        <v>10580</v>
      </c>
      <c r="E38" s="1">
        <v>11209</v>
      </c>
      <c r="F38" s="1">
        <v>11919</v>
      </c>
      <c r="G38" s="1">
        <v>12809.114689999999</v>
      </c>
      <c r="H38" s="1">
        <v>14240.68806</v>
      </c>
      <c r="I38" s="1">
        <v>16294.837340000002</v>
      </c>
      <c r="J38" s="1">
        <v>16688.208999999995</v>
      </c>
      <c r="K38" s="1">
        <v>17819.67729</v>
      </c>
      <c r="L38" s="246">
        <f>(K38-J38)*100/J38</f>
        <v>6.780046259008409</v>
      </c>
      <c r="M38" s="48">
        <f>(K38-AC38)*100/AC38</f>
        <v>111.73570924429657</v>
      </c>
      <c r="N38" s="14">
        <v>1940</v>
      </c>
      <c r="O38" s="14">
        <v>2249</v>
      </c>
      <c r="P38" s="14">
        <v>2394</v>
      </c>
      <c r="Q38" s="14">
        <v>3065</v>
      </c>
      <c r="R38" s="14">
        <v>3655</v>
      </c>
      <c r="S38" s="14">
        <v>4138</v>
      </c>
      <c r="T38" s="14">
        <v>4705</v>
      </c>
      <c r="U38" s="14">
        <v>4846</v>
      </c>
      <c r="V38" s="14">
        <v>5023</v>
      </c>
      <c r="W38" s="14">
        <v>5223</v>
      </c>
      <c r="X38" s="14">
        <v>5368</v>
      </c>
      <c r="Y38" s="14">
        <v>5553</v>
      </c>
      <c r="Z38" s="14">
        <v>6102</v>
      </c>
      <c r="AA38" s="14">
        <v>6712</v>
      </c>
      <c r="AB38" s="14">
        <v>7664</v>
      </c>
      <c r="AC38" s="1">
        <v>8416</v>
      </c>
      <c r="AD38" s="14"/>
      <c r="AE38" s="3">
        <v>11684240</v>
      </c>
      <c r="AF38" s="3">
        <v>25144.25</v>
      </c>
      <c r="AG38" s="92">
        <v>450215.46</v>
      </c>
      <c r="AH38" s="3">
        <f>AE38-AF38-AG38</f>
        <v>11208880.29</v>
      </c>
      <c r="AI38" s="3">
        <f>AH38/1000</f>
        <v>11208.88029</v>
      </c>
      <c r="AK38" s="3">
        <v>12448266</v>
      </c>
      <c r="AL38" s="92">
        <v>23717.21</v>
      </c>
      <c r="AM38" s="92">
        <v>505722</v>
      </c>
      <c r="AN38" s="3">
        <f>AK38-AL38-AM38</f>
        <v>11918826.79</v>
      </c>
      <c r="AO38" s="3">
        <f>AN38/1000</f>
        <v>11918.82679</v>
      </c>
      <c r="AQ38" s="3">
        <v>497706</v>
      </c>
      <c r="AR38" s="3">
        <v>8016</v>
      </c>
      <c r="AS38" s="3">
        <f>SUM(AQ38:AR38)</f>
        <v>505722</v>
      </c>
      <c r="AU38" s="3">
        <v>13316113.659999996</v>
      </c>
      <c r="AV38" s="92">
        <v>35711.36</v>
      </c>
      <c r="AW38" s="92">
        <v>471287.61</v>
      </c>
      <c r="AX38" s="3">
        <f>AU38-AV38-AW38</f>
        <v>12809114.689999998</v>
      </c>
      <c r="AY38" s="3">
        <f>AX38/1000</f>
        <v>12809.114689999999</v>
      </c>
      <c r="BA38" s="247">
        <v>321522.95</v>
      </c>
      <c r="BB38" s="3">
        <v>149764.66</v>
      </c>
      <c r="BC38" s="3">
        <f>SUM(BA38:BB38)</f>
        <v>471287.61</v>
      </c>
      <c r="BE38" s="3">
        <v>14766710.3</v>
      </c>
      <c r="BF38" s="92">
        <v>10586</v>
      </c>
      <c r="BG38" s="156">
        <f>BM38</f>
        <v>515436.24</v>
      </c>
      <c r="BH38" s="3">
        <f>BE38-BF38-BG38</f>
        <v>14240688.06</v>
      </c>
      <c r="BI38" s="3">
        <f>BH38/1000</f>
        <v>14240.68806</v>
      </c>
      <c r="BK38" s="247">
        <v>491816.71</v>
      </c>
      <c r="BL38" s="3">
        <v>23619.53</v>
      </c>
      <c r="BM38" s="3">
        <f>SUM(BK38:BL38)</f>
        <v>515436.24</v>
      </c>
      <c r="BO38" s="247">
        <v>0</v>
      </c>
      <c r="BP38" s="3">
        <v>357901.24</v>
      </c>
      <c r="BQ38" s="3">
        <f>SUM(BO38:BP38)</f>
        <v>357901.24</v>
      </c>
      <c r="BS38" s="3">
        <v>16299284.470000003</v>
      </c>
      <c r="BT38" s="3">
        <v>4447.13</v>
      </c>
      <c r="BU38" s="3">
        <v>0</v>
      </c>
      <c r="BV38" s="3">
        <f>BS38-BT38-BU38</f>
        <v>16294837.340000002</v>
      </c>
      <c r="BW38" s="3">
        <f>BV38/1000</f>
        <v>16294.837340000002</v>
      </c>
      <c r="BY38" s="3">
        <v>16890964.669999998</v>
      </c>
      <c r="BZ38" s="3">
        <v>27654.21</v>
      </c>
      <c r="CA38" s="3">
        <v>175101.46</v>
      </c>
      <c r="CB38" s="3">
        <f>BY38-BZ38-CA38</f>
        <v>16688208.999999996</v>
      </c>
      <c r="CC38" s="3">
        <f>CB38/1000</f>
        <v>16688.208999999995</v>
      </c>
      <c r="CE38" s="3">
        <v>18512337.65</v>
      </c>
      <c r="CF38" s="3">
        <v>65625.62</v>
      </c>
      <c r="CG38" s="3">
        <v>627034.74</v>
      </c>
      <c r="CH38" s="3">
        <f>CE38-CF38-CG38</f>
        <v>17819677.29</v>
      </c>
      <c r="CI38" s="3">
        <f>CH38/1000</f>
        <v>17819.67729</v>
      </c>
    </row>
    <row r="39" spans="1:87" ht="12.75">
      <c r="A39" s="17" t="s">
        <v>29</v>
      </c>
      <c r="B39" s="1">
        <v>4495</v>
      </c>
      <c r="C39" s="1">
        <v>5172</v>
      </c>
      <c r="D39" s="1">
        <v>5576</v>
      </c>
      <c r="E39" s="1">
        <v>6012</v>
      </c>
      <c r="F39" s="1">
        <v>6762</v>
      </c>
      <c r="G39" s="1">
        <v>7345.934500000001</v>
      </c>
      <c r="H39" s="1">
        <v>8400.4895</v>
      </c>
      <c r="I39" s="1">
        <v>9330.111459999998</v>
      </c>
      <c r="J39" s="1">
        <v>9744.54083</v>
      </c>
      <c r="K39" s="1">
        <v>10217.96721</v>
      </c>
      <c r="L39" s="246">
        <f>(K39-J39)*100/J39</f>
        <v>4.858375456157853</v>
      </c>
      <c r="M39" s="48">
        <f>(K39-AC39)*100/AC39</f>
        <v>161.39593783576362</v>
      </c>
      <c r="N39" s="14">
        <v>1148</v>
      </c>
      <c r="O39" s="14">
        <v>1350</v>
      </c>
      <c r="P39" s="14">
        <v>1482</v>
      </c>
      <c r="Q39" s="14">
        <v>1651</v>
      </c>
      <c r="R39" s="14">
        <v>1797</v>
      </c>
      <c r="S39" s="14">
        <v>1985</v>
      </c>
      <c r="T39" s="14">
        <v>2123</v>
      </c>
      <c r="U39" s="14">
        <v>2177</v>
      </c>
      <c r="V39" s="14">
        <v>2169</v>
      </c>
      <c r="W39" s="14">
        <v>2329</v>
      </c>
      <c r="X39" s="14">
        <v>2607</v>
      </c>
      <c r="Y39" s="14">
        <v>2806</v>
      </c>
      <c r="Z39" s="24">
        <v>3122</v>
      </c>
      <c r="AA39" s="14">
        <v>3286</v>
      </c>
      <c r="AB39" s="14">
        <v>3474</v>
      </c>
      <c r="AC39" s="1">
        <v>3909</v>
      </c>
      <c r="AD39" s="14"/>
      <c r="AE39" s="3">
        <v>6090693</v>
      </c>
      <c r="AF39" s="3">
        <v>14541.87</v>
      </c>
      <c r="AG39" s="107">
        <v>64404.98</v>
      </c>
      <c r="AH39" s="3">
        <f>AE39-AF39-AG39</f>
        <v>6011746.149999999</v>
      </c>
      <c r="AI39" s="3">
        <f>AH39/1000</f>
        <v>6011.746149999999</v>
      </c>
      <c r="AK39" s="3">
        <v>6824109</v>
      </c>
      <c r="AL39" s="107">
        <v>27924.91</v>
      </c>
      <c r="AM39" s="107">
        <v>34397</v>
      </c>
      <c r="AN39" s="3">
        <f>AK39-AL39-AM39</f>
        <v>6761787.09</v>
      </c>
      <c r="AO39" s="3">
        <f>AN39/1000</f>
        <v>6761.78709</v>
      </c>
      <c r="AQ39" s="3">
        <v>34397.45</v>
      </c>
      <c r="AR39" s="3">
        <v>0</v>
      </c>
      <c r="AS39" s="3">
        <f>SUM(AQ39:AR39)</f>
        <v>34397.45</v>
      </c>
      <c r="AU39" s="3">
        <v>7403525.790000001</v>
      </c>
      <c r="AV39" s="107">
        <v>13170.89</v>
      </c>
      <c r="AW39" s="107">
        <v>44420.4</v>
      </c>
      <c r="AX39" s="3">
        <f>AU39-AV39-AW39</f>
        <v>7345934.500000001</v>
      </c>
      <c r="AY39" s="3">
        <f>AX39/1000</f>
        <v>7345.934500000001</v>
      </c>
      <c r="BA39" s="247">
        <v>0</v>
      </c>
      <c r="BB39" s="3">
        <v>44420.4</v>
      </c>
      <c r="BC39" s="3">
        <f>SUM(BA39:BB39)</f>
        <v>44420.4</v>
      </c>
      <c r="BE39" s="3">
        <v>8470752.96</v>
      </c>
      <c r="BF39" s="107">
        <v>41579.06</v>
      </c>
      <c r="BG39" s="156">
        <f>BM39</f>
        <v>28684.4</v>
      </c>
      <c r="BH39" s="3">
        <f>BE39-BF39-BG39</f>
        <v>8400489.5</v>
      </c>
      <c r="BI39" s="3">
        <f>BH39/1000</f>
        <v>8400.4895</v>
      </c>
      <c r="BK39" s="247">
        <v>0</v>
      </c>
      <c r="BL39" s="3">
        <v>28684.4</v>
      </c>
      <c r="BM39" s="3">
        <f>SUM(BK39:BL39)</f>
        <v>28684.4</v>
      </c>
      <c r="BO39" s="247">
        <v>0</v>
      </c>
      <c r="BP39" s="3">
        <v>30101</v>
      </c>
      <c r="BQ39" s="3">
        <f>SUM(BO39:BP39)</f>
        <v>30101</v>
      </c>
      <c r="BS39" s="3">
        <v>9334422.44</v>
      </c>
      <c r="BT39" s="3">
        <v>4310.98</v>
      </c>
      <c r="BU39" s="3">
        <v>0</v>
      </c>
      <c r="BV39" s="3">
        <f>BS39-BT39-BU39</f>
        <v>9330111.459999999</v>
      </c>
      <c r="BW39" s="3">
        <f>BV39/1000</f>
        <v>9330.111459999998</v>
      </c>
      <c r="BY39" s="3">
        <v>9776001.81</v>
      </c>
      <c r="BZ39" s="3">
        <v>4826.15</v>
      </c>
      <c r="CA39" s="3">
        <v>26634.83</v>
      </c>
      <c r="CB39" s="3">
        <f>BY39-BZ39-CA39</f>
        <v>9744540.83</v>
      </c>
      <c r="CC39" s="3">
        <f>CB39/1000</f>
        <v>9744.54083</v>
      </c>
      <c r="CE39" s="3">
        <v>10446243.6</v>
      </c>
      <c r="CF39" s="3">
        <v>186303.27000000002</v>
      </c>
      <c r="CG39" s="3">
        <v>41973.12</v>
      </c>
      <c r="CH39" s="3">
        <f>CE39-CF39-CG39</f>
        <v>10217967.21</v>
      </c>
      <c r="CI39" s="3">
        <f>CH39/1000</f>
        <v>10217.96721</v>
      </c>
    </row>
    <row r="40" spans="1:29" ht="12.75">
      <c r="A40" s="1" t="s">
        <v>231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X40" s="18"/>
      <c r="Y40" s="18"/>
      <c r="AA40" s="19"/>
      <c r="AB40" s="208"/>
      <c r="AC40" s="208"/>
    </row>
    <row r="41" spans="15:29" ht="12.75">
      <c r="O41" s="1" t="s">
        <v>103</v>
      </c>
      <c r="AA41" s="14"/>
      <c r="AB41" s="14"/>
      <c r="AC41" s="14"/>
    </row>
    <row r="42" spans="17:29" ht="12.75">
      <c r="Q42" s="14"/>
      <c r="R42" s="14"/>
      <c r="S42" s="14"/>
      <c r="Y42" s="14"/>
      <c r="AA42" s="14"/>
      <c r="AB42" s="14"/>
      <c r="AC42" s="14"/>
    </row>
    <row r="43" spans="17:29" ht="12.75">
      <c r="Q43" s="14"/>
      <c r="R43" s="14"/>
      <c r="S43" s="14"/>
      <c r="Y43" s="14"/>
      <c r="AA43" s="14"/>
      <c r="AB43" s="14"/>
      <c r="AC43" s="14"/>
    </row>
    <row r="44" spans="17:29" ht="12.75">
      <c r="Q44" s="14"/>
      <c r="R44" s="14"/>
      <c r="S44" s="14"/>
      <c r="Y44" s="14"/>
      <c r="AA44" s="14"/>
      <c r="AB44" s="14"/>
      <c r="AC44" s="14"/>
    </row>
    <row r="45" spans="17:29" ht="12.75">
      <c r="Q45" s="14"/>
      <c r="R45" s="14"/>
      <c r="S45" s="14"/>
      <c r="Y45" s="14"/>
      <c r="AA45" s="14"/>
      <c r="AB45" s="14"/>
      <c r="AC45" s="14"/>
    </row>
    <row r="46" spans="17:29" ht="12.75">
      <c r="Q46" s="14"/>
      <c r="R46" s="14"/>
      <c r="S46" s="14"/>
      <c r="Y46" s="14"/>
      <c r="AA46" s="14"/>
      <c r="AB46" s="14"/>
      <c r="AC46" s="14"/>
    </row>
    <row r="47" spans="25:29" ht="12.75">
      <c r="Y47" s="14"/>
      <c r="AA47" s="14"/>
      <c r="AB47" s="14"/>
      <c r="AC47" s="14"/>
    </row>
    <row r="48" spans="25:29" ht="12.75">
      <c r="Y48" s="14"/>
      <c r="AA48" s="14"/>
      <c r="AB48" s="14"/>
      <c r="AC48" s="14"/>
    </row>
    <row r="49" spans="25:29" ht="12.75">
      <c r="Y49" s="14"/>
      <c r="AA49" s="14"/>
      <c r="AB49" s="14"/>
      <c r="AC49" s="14"/>
    </row>
    <row r="50" spans="25:29" ht="12.75">
      <c r="Y50" s="14"/>
      <c r="AA50" s="14"/>
      <c r="AB50" s="14"/>
      <c r="AC50" s="14"/>
    </row>
    <row r="51" spans="25:29" ht="12.75">
      <c r="Y51" s="14"/>
      <c r="AA51" s="14"/>
      <c r="AB51" s="14"/>
      <c r="AC51" s="14"/>
    </row>
    <row r="52" spans="27:29" ht="12.75">
      <c r="AA52" s="14"/>
      <c r="AB52" s="14"/>
      <c r="AC52" s="14"/>
    </row>
    <row r="53" spans="27:29" ht="12.75">
      <c r="AA53" s="14"/>
      <c r="AB53" s="14"/>
      <c r="AC53" s="14"/>
    </row>
  </sheetData>
  <sheetProtection password="CAF5" sheet="1"/>
  <mergeCells count="11">
    <mergeCell ref="BE6:BI6"/>
    <mergeCell ref="BG8:BG9"/>
    <mergeCell ref="BK6:BL6"/>
    <mergeCell ref="AU6:AY6"/>
    <mergeCell ref="AW8:AW9"/>
    <mergeCell ref="A4:M4"/>
    <mergeCell ref="BO6:BP6"/>
    <mergeCell ref="AE6:AI6"/>
    <mergeCell ref="AK6:AO6"/>
    <mergeCell ref="AM8:AM9"/>
    <mergeCell ref="L7:M7"/>
  </mergeCells>
  <printOptions/>
  <pageMargins left="0.48" right="0.54" top="1" bottom="1" header="0.5" footer="0.5"/>
  <pageSetup fitToHeight="1" fitToWidth="1" orientation="landscape" scale="76" r:id="rId1"/>
  <headerFooter scaleWithDoc="0" alignWithMargins="0">
    <oddFooter>&amp;L&amp;"Arial,Italic"&amp;10MSDE-LFRO   10 / 2011&amp;C&amp;"Arial,Regular"&amp;10- 9 -&amp;R&amp;"Arial,Italic"&amp;10Selected Financial Data - Part 4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PART 4 FY 2008 10-28-2009 Release</dc:title>
  <dc:subject>10-28-2009 Compilation Revised 1-21-2010</dc:subject>
  <dc:creator>Hiatt/Finn/Ieng</dc:creator>
  <cp:keywords/>
  <dc:description/>
  <cp:lastModifiedBy>rieng</cp:lastModifiedBy>
  <cp:lastPrinted>2011-11-09T19:03:30Z</cp:lastPrinted>
  <dcterms:created xsi:type="dcterms:W3CDTF">1997-05-28T15:16:37Z</dcterms:created>
  <dcterms:modified xsi:type="dcterms:W3CDTF">2011-11-09T20:42:54Z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157800.000000000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