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40" windowWidth="12120" windowHeight="9090" tabRatio="813" firstSheet="13" activeTab="17"/>
  </bookViews>
  <sheets>
    <sheet name="table 1" sheetId="1" r:id="rId1"/>
    <sheet name="table 2a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state5" sheetId="11" r:id="rId11"/>
    <sheet name="fed1" sheetId="12" r:id="rId12"/>
    <sheet name="fed2" sheetId="13" r:id="rId13"/>
    <sheet name="fed3" sheetId="14" r:id="rId14"/>
    <sheet name="fed4" sheetId="15" r:id="rId15"/>
    <sheet name="fed5" sheetId="16" r:id="rId16"/>
    <sheet name="table9" sheetId="17" r:id="rId17"/>
    <sheet name="table 10" sheetId="18" r:id="rId18"/>
    <sheet name="table11" sheetId="19" r:id="rId19"/>
    <sheet name="table12" sheetId="20" r:id="rId20"/>
    <sheet name="Table 12 Continued" sheetId="21" r:id="rId21"/>
    <sheet name="Sheet1" sheetId="22" r:id="rId22"/>
    <sheet name="Sheet2" sheetId="23" r:id="rId23"/>
  </sheets>
  <definedNames>
    <definedName name="_xlnm.Print_Area" localSheetId="6">'state1'!$A$1:$I$40</definedName>
    <definedName name="_xlnm.Print_Area" localSheetId="5">'table 6'!$A$1:$P$43</definedName>
    <definedName name="_xlnm.Print_Area" localSheetId="18">'table11'!$A$1:$F$47</definedName>
    <definedName name="_xlnm.Print_Area" localSheetId="2">'table3'!$A$1:$L$42</definedName>
    <definedName name="_xlnm.Print_Area" localSheetId="3">'table4'!$A$1:$K$39</definedName>
  </definedNames>
  <calcPr fullCalcOnLoad="1"/>
</workbook>
</file>

<file path=xl/sharedStrings.xml><?xml version="1.0" encoding="utf-8"?>
<sst xmlns="http://schemas.openxmlformats.org/spreadsheetml/2006/main" count="1009" uniqueCount="290">
  <si>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</si>
  <si>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</si>
  <si>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</si>
  <si>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</si>
  <si>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</si>
  <si>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</si>
  <si>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</si>
  <si>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</si>
  <si>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</si>
  <si>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</si>
  <si>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</si>
  <si>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</si>
  <si>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</si>
  <si>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</si>
  <si>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</si>
  <si>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</si>
  <si>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</si>
  <si>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</si>
  <si>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</si>
  <si>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</si>
  <si>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</si>
  <si>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</si>
  <si>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</si>
  <si>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</si>
  <si>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</si>
  <si>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</si>
  <si>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</si>
  <si>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</si>
  <si>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Nonpublic</t>
  </si>
  <si>
    <t>Placements</t>
  </si>
  <si>
    <t>Gifted</t>
  </si>
  <si>
    <t>and</t>
  </si>
  <si>
    <t>Talented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</si>
  <si>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</si>
  <si>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</si>
  <si>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</si>
  <si>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</si>
  <si>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</si>
  <si>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</si>
  <si>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</si>
  <si>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</si>
  <si>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</si>
  <si>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</si>
  <si>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</si>
  <si>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</si>
  <si>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</si>
  <si>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</si>
  <si>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</si>
  <si>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</si>
  <si>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</si>
  <si>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</si>
  <si>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</si>
  <si>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</si>
  <si>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</si>
  <si>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</si>
  <si>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</si>
  <si>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</si>
  <si>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Concentration</t>
  </si>
  <si>
    <t>Expenses</t>
  </si>
  <si>
    <t>Even</t>
  </si>
  <si>
    <t>Start</t>
  </si>
  <si>
    <t>Program</t>
  </si>
  <si>
    <t>Basic and</t>
  </si>
  <si>
    <t>Grants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</si>
  <si>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</si>
  <si>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</si>
  <si>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</si>
  <si>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</si>
  <si>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</si>
  <si>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</si>
  <si>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</si>
  <si>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</si>
  <si>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</si>
  <si>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</si>
  <si>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</si>
  <si>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</si>
  <si>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</si>
  <si>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</si>
  <si>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</si>
  <si>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</si>
  <si>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</si>
  <si>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</si>
  <si>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</si>
  <si>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</si>
  <si>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</si>
  <si>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</si>
  <si>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</si>
  <si>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</si>
  <si>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</si>
  <si>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</si>
  <si>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</si>
  <si>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</si>
  <si>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</si>
  <si>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</si>
  <si>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</si>
  <si>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</si>
  <si>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</si>
  <si>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</si>
  <si>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</si>
  <si>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</si>
  <si>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</si>
  <si>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</si>
  <si>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</si>
  <si>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</si>
  <si>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</si>
  <si>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</si>
  <si>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</si>
  <si>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</si>
  <si>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</si>
  <si>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</si>
  <si>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</si>
  <si>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</si>
  <si>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</si>
  <si>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</si>
  <si>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</si>
  <si>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</si>
  <si>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</si>
  <si>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</si>
  <si>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</si>
  <si>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</si>
  <si>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</si>
  <si>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</si>
  <si>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</si>
  <si>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</si>
  <si>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</si>
  <si>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External</t>
  </si>
  <si>
    <t>Diploma</t>
  </si>
  <si>
    <t>Works</t>
  </si>
  <si>
    <t>Science/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</si>
  <si>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</si>
  <si>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</si>
  <si>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</si>
  <si>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</si>
  <si>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</si>
  <si>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</si>
  <si>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Indian 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</si>
  <si>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</si>
  <si>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</si>
  <si>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</si>
  <si>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</si>
  <si>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</si>
  <si>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</si>
  <si>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</si>
  <si>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</si>
  <si>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</si>
  <si>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</si>
  <si>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</si>
  <si>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</si>
  <si>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</si>
  <si>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</si>
  <si>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</si>
  <si>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</si>
  <si>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</si>
  <si>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 xml:space="preserve">State Share of Teachers' Retirement </t>
  </si>
  <si>
    <t>Regular Transportation</t>
  </si>
  <si>
    <t>Transportation of Students with Disibilities</t>
  </si>
  <si>
    <t>Continuing Education</t>
  </si>
  <si>
    <t>Local      Education Agency</t>
  </si>
  <si>
    <t>Teacher Stipends &amp; Bonuses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</si>
  <si>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</si>
  <si>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</si>
  <si>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</si>
  <si>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</si>
  <si>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</si>
  <si>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</si>
  <si>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</si>
  <si>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</si>
  <si>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</si>
  <si>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</si>
  <si>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</si>
  <si>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</si>
  <si>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</si>
  <si>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</si>
  <si>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</si>
  <si>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</si>
  <si>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</si>
  <si>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</si>
  <si>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</si>
  <si>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</si>
  <si>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</si>
  <si>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</si>
  <si>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</si>
  <si>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Other Earnings on Investment</t>
  </si>
  <si>
    <t>Unrestricted and Impact Aid Funds</t>
  </si>
  <si>
    <t xml:space="preserve">Charter </t>
  </si>
  <si>
    <t>Public Health Services Act</t>
  </si>
  <si>
    <t>Social Security Act Medical Assistance</t>
  </si>
  <si>
    <t>Stewart B. McKinney Homeless Assistance</t>
  </si>
  <si>
    <t>Safe and Drug Free Communities</t>
  </si>
  <si>
    <t>Title X - Fund for Improvement of Education</t>
  </si>
  <si>
    <t>Total Local Wealth *</t>
  </si>
  <si>
    <t>GCEI - Regional Difference</t>
  </si>
  <si>
    <t>(D)</t>
  </si>
  <si>
    <t>Additional Grant to Adjusted Calculation</t>
  </si>
  <si>
    <t>Appropriation**</t>
  </si>
  <si>
    <r>
      <t xml:space="preserve">***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</si>
  <si>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b/>
        <sz val="10"/>
        <rFont val="Arial"/>
        <family val="2"/>
      </rPr>
      <t>***</t>
    </r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</si>
  <si>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</si>
  <si>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</si>
  <si>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</si>
  <si>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t>*** Includes the following:  tuition, transportation fees, transfers from school units in other states, and other miscellaneous revenue</t>
  </si>
  <si>
    <t>Other***</t>
  </si>
  <si>
    <t>revenue**</t>
  </si>
  <si>
    <t>Compensatory Education Formula</t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</si>
  <si>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</si>
  <si>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</si>
  <si>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</si>
  <si>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</si>
  <si>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</si>
  <si>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</si>
  <si>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</si>
  <si>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</si>
  <si>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</si>
  <si>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r>
      <t xml:space="preserve">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</si>
  <si>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  <family val="0"/>
      </rPr>
      <t>**</t>
    </r>
  </si>
  <si>
    <t>Total Foundation Program (Enrollment X $6,694)</t>
  </si>
  <si>
    <t>Minimum State Share = Foundation Progam x .15           (S2)</t>
  </si>
  <si>
    <t>Students        X $3,247</t>
  </si>
  <si>
    <t>(B) X 80%</t>
  </si>
  <si>
    <t>Local Appropriations in Percent of Total Local Wealth</t>
  </si>
  <si>
    <t>Local Appropriations for Public Schools as a Percent of Assessed Valuation and Total Local Wealth</t>
  </si>
  <si>
    <t>Table 12 (Continued)</t>
  </si>
  <si>
    <t>*    Excludes federal revenue and state revenue for food service operations; excludes sale of meals and value of USDA commodities.</t>
  </si>
  <si>
    <t>Adult Ed - English Lit/Civics</t>
  </si>
  <si>
    <t>ESEA I - LEA School System Support</t>
  </si>
  <si>
    <t>ESEA I - LEA State Administration</t>
  </si>
  <si>
    <t>Guaranteed Tax Base</t>
  </si>
  <si>
    <t>School Based Health Program</t>
  </si>
  <si>
    <t>ESEA</t>
  </si>
  <si>
    <t xml:space="preserve">Title IID </t>
  </si>
  <si>
    <t>Title IIIA</t>
  </si>
  <si>
    <t>ARRA</t>
  </si>
  <si>
    <t>Supplemental Grants</t>
  </si>
  <si>
    <t>Limited English Proficiency</t>
  </si>
  <si>
    <t>Title I School Improvement</t>
  </si>
  <si>
    <t>Disabled Students</t>
  </si>
  <si>
    <t>Natl Early Intervention Scholarship &amp; Partnership</t>
  </si>
  <si>
    <t xml:space="preserve"> Title II Carl T. Perkins - Career and Technology </t>
  </si>
  <si>
    <t>Displaced Homemakers</t>
  </si>
  <si>
    <t>Sex</t>
  </si>
  <si>
    <t>Equity</t>
  </si>
  <si>
    <t>National School Lunch Equipment Assistance</t>
  </si>
  <si>
    <t>Part B - Preschool</t>
  </si>
  <si>
    <t>Title I</t>
  </si>
  <si>
    <t>State Fiscal Stabilization Fund Grants</t>
  </si>
  <si>
    <t>Education Technology - State Grants</t>
  </si>
  <si>
    <t>Part B - State Pass Through</t>
  </si>
  <si>
    <t>IDEA PartC -  Infant &amp; Families</t>
  </si>
  <si>
    <t>Revenue from the State for Maryland Public School Purposes: 2010 - 2011</t>
  </si>
  <si>
    <t>Revenue from the State for Maryland Public School Purposes:  2010 - 2011</t>
  </si>
  <si>
    <t>Revenue from the State for Maryland Public School Purposes:  2010 -2011</t>
  </si>
  <si>
    <t>Direct Grants &amp; Other Agencies Subgrants</t>
  </si>
  <si>
    <t xml:space="preserve">ARRA Title I </t>
  </si>
  <si>
    <t>Targeted, Incentive, &amp; Schools Improvement</t>
  </si>
  <si>
    <t>Goals 2000 - Opportunity-to-Learn</t>
  </si>
  <si>
    <t>Race To TheTop</t>
  </si>
  <si>
    <t>Education Jobs Funds</t>
  </si>
  <si>
    <t>Revenue from the Federal Government for Maryland Public Schools:  2010 - 2011</t>
  </si>
  <si>
    <t>Revenue from the Federal Government for Maryland Public Schools:  2010 -2011</t>
  </si>
  <si>
    <t>Gaining Early Awareness and Readiness</t>
  </si>
  <si>
    <t>IDEA Part C - Severely Handicapped Project</t>
  </si>
  <si>
    <t xml:space="preserve"> </t>
  </si>
  <si>
    <t>Revenue from the Federal Government for Maryland Public Schools:  2010- 2011</t>
  </si>
  <si>
    <t>Foundation Current Expense Formula Aid for Maryland Public Schools:  2010 - 2011</t>
  </si>
  <si>
    <t>Enrollment  09-30-2009</t>
  </si>
  <si>
    <t>Local Share         ( Local Wealth X .64523%)</t>
  </si>
  <si>
    <t>SOURCE:  MSDE final calculations for the Major State Aid Programs for Fiscal Year 2011</t>
  </si>
  <si>
    <t>10-31-2009 Eligible FARMS Students</t>
  </si>
  <si>
    <t>Grant Adjusted Calculation        @ 0.8200919</t>
  </si>
  <si>
    <t>Assessed Valuation per Pupil Belonging and per Capita:  State of Maryland:  2010 - 2011</t>
  </si>
  <si>
    <t>July 1, 2010 Population Estimates ***</t>
  </si>
  <si>
    <t>Maryland Public Schools:  2010 - 2011</t>
  </si>
  <si>
    <t>Revenue from All Sources* for Maryland Public Schools:  2010 - 2011</t>
  </si>
  <si>
    <t>Revenue from All Sources for Current Expenses*:   Maryland Public Schools:  2010 - 2011</t>
  </si>
  <si>
    <t>Revenue from All Sources for School Construction:  Maryland Public Schools:  2010- 2011</t>
  </si>
  <si>
    <t>Revenue from All Sources for Food Service Operations:  Maryland Public Schools:  2010 - 2011</t>
  </si>
  <si>
    <t>**  Excludes   $8,412,972.19  Baltimore City Public Schools appropriated within the Current Expenses Fund,but transferred to Debt Service Fund.</t>
  </si>
  <si>
    <t>State Compensatory Education Aid for Maryland Public Schools:  2010 - 2011</t>
  </si>
  <si>
    <r>
      <t xml:space="preserve">* </t>
    </r>
    <r>
      <rPr>
        <sz val="10"/>
        <rFont val="Wingdings"/>
        <family val="0"/>
      </rPr>
      <t xml:space="preserve">  </t>
    </r>
    <r>
      <rPr>
        <sz val="10"/>
        <rFont val="Arial"/>
        <family val="2"/>
      </rPr>
      <t xml:space="preserve">Excerpt from Table I -   The Taxable Assessable Base at the County Level For the tax year beginning July 1, 2010 </t>
    </r>
  </si>
  <si>
    <t>http://www.dat.state.md.us/sdatweb/stats/AnnualRpt_2011.pdf</t>
  </si>
  <si>
    <t xml:space="preserve">         Base Estimate date: November 15, 2010. Maryland State Department of Assessment and Taxation  Annual Report</t>
  </si>
  <si>
    <t xml:space="preserve">* Included are taxable income, real and public utility property assessments for state purposes, and 50% of personal property assessments for county purposes; </t>
  </si>
  <si>
    <t xml:space="preserve">***  Baltimore City Public Schools  appropriated $8,412,972.19 for debt servicing within the Current Expenses Fund; this amount is classified here as local appropriation. </t>
  </si>
  <si>
    <t xml:space="preserve">         Source:</t>
  </si>
  <si>
    <t>http://www.census.gov/popest/counties/tables/CO-EST2009-01-24.xls</t>
  </si>
  <si>
    <t>**      Half-time prekindergarten pupils are expressed in full-time equivalents in arriving at per pupil costs.</t>
  </si>
  <si>
    <t>***    Excerpt from Table 1.  Intercensal Estimates of the Resident Population for Counties of Maryland: April 1, 2000 to July 1, 2010 (CO-EST00INT-01-27)</t>
  </si>
  <si>
    <t xml:space="preserve">        Release Date: September 2011</t>
  </si>
  <si>
    <t xml:space="preserve">        Source:  </t>
  </si>
  <si>
    <t>Revenue from All Sources for Debt Service*:  Maryland Public Schools:  2010 - 2011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</si>
</sst>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#,##0.000"/>
    <numFmt numFmtId="169" formatCode="#,##0.0000"/>
    <numFmt numFmtId="170" formatCode="0.00000%"/>
    <numFmt numFmtId="171" formatCode="_(* #,##0.00_);_(* \(#,##0.00\);_(* &quot;-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Arial"/>
      <family val="2"/>
    </font>
    <font>
      <sz val="10"/>
      <name val="Wingdings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1"/>
      <name val="Calibri"/>
      <family val="2"/>
    </font>
    <font>
      <u val="single"/>
      <sz val="9.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double"/>
      <bottom style="thin"/>
    </border>
    <border>
      <left/>
      <right/>
      <top/>
      <bottom style="thin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4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0" fontId="0" fillId="0" borderId="0" xfId="58" applyNumberFormat="1" applyFont="1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6" fontId="0" fillId="0" borderId="0" xfId="44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/>
    </xf>
    <xf numFmtId="49" fontId="0" fillId="0" borderId="0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66" fontId="6" fillId="0" borderId="0" xfId="44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166" fontId="0" fillId="0" borderId="0" xfId="44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0" xfId="44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8" fillId="0" borderId="0" xfId="0" applyFont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1" xfId="0" applyNumberFormat="1" applyBorder="1" applyAlignment="1">
      <alignment/>
    </xf>
    <xf numFmtId="165" fontId="0" fillId="0" borderId="11" xfId="42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10" fontId="0" fillId="0" borderId="0" xfId="58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1" fontId="0" fillId="0" borderId="13" xfId="0" applyNumberFormat="1" applyFont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6" fontId="0" fillId="0" borderId="0" xfId="44" applyNumberFormat="1" applyFont="1" applyBorder="1" applyAlignment="1">
      <alignment horizontal="center"/>
    </xf>
    <xf numFmtId="10" fontId="0" fillId="0" borderId="0" xfId="5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2" fontId="0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 quotePrefix="1">
      <alignment/>
    </xf>
    <xf numFmtId="165" fontId="0" fillId="0" borderId="0" xfId="42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 horizontal="center"/>
    </xf>
    <xf numFmtId="10" fontId="0" fillId="0" borderId="0" xfId="58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0" fontId="0" fillId="0" borderId="0" xfId="58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166" fontId="0" fillId="0" borderId="0" xfId="44" applyNumberFormat="1" applyFont="1" applyFill="1" applyAlignment="1">
      <alignment horizontal="left" indent="2"/>
    </xf>
    <xf numFmtId="166" fontId="0" fillId="0" borderId="0" xfId="44" applyNumberFormat="1" applyFont="1" applyFill="1" applyBorder="1" applyAlignment="1">
      <alignment horizontal="right"/>
    </xf>
    <xf numFmtId="10" fontId="0" fillId="0" borderId="0" xfId="58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right"/>
    </xf>
    <xf numFmtId="43" fontId="0" fillId="0" borderId="0" xfId="42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6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10" fillId="0" borderId="0" xfId="0" applyNumberFormat="1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11" xfId="42" applyNumberFormat="1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1" fontId="0" fillId="0" borderId="0" xfId="42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6" fontId="6" fillId="0" borderId="0" xfId="44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/>
    </xf>
    <xf numFmtId="166" fontId="6" fillId="0" borderId="0" xfId="44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37" fontId="0" fillId="0" borderId="0" xfId="44" applyNumberFormat="1" applyFont="1" applyFill="1" applyBorder="1" applyAlignment="1">
      <alignment/>
    </xf>
    <xf numFmtId="37" fontId="0" fillId="0" borderId="0" xfId="44" applyNumberFormat="1" applyFont="1" applyFill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6" fontId="0" fillId="0" borderId="0" xfId="44" applyNumberFormat="1" applyFont="1" applyFill="1" applyAlignment="1">
      <alignment horizontal="left" indent="2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3" fontId="0" fillId="0" borderId="11" xfId="42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right"/>
    </xf>
    <xf numFmtId="42" fontId="0" fillId="0" borderId="0" xfId="42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166" fontId="0" fillId="0" borderId="0" xfId="44" applyNumberFormat="1" applyFont="1" applyFill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Border="1" applyAlignment="1">
      <alignment horizontal="center" wrapText="1"/>
    </xf>
    <xf numFmtId="166" fontId="0" fillId="0" borderId="0" xfId="44" applyNumberFormat="1" applyFont="1" applyFill="1" applyAlignment="1">
      <alignment/>
    </xf>
    <xf numFmtId="42" fontId="0" fillId="0" borderId="0" xfId="44" applyNumberFormat="1" applyFont="1" applyFill="1" applyAlignment="1">
      <alignment/>
    </xf>
    <xf numFmtId="166" fontId="0" fillId="0" borderId="0" xfId="44" applyNumberFormat="1" applyFont="1" applyAlignment="1">
      <alignment/>
    </xf>
    <xf numFmtId="4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165" fontId="0" fillId="0" borderId="0" xfId="42" applyNumberFormat="1" applyFont="1" applyBorder="1" applyAlignment="1">
      <alignment horizontal="left" indent="2"/>
    </xf>
    <xf numFmtId="166" fontId="0" fillId="0" borderId="0" xfId="44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Continuous"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4" fontId="0" fillId="0" borderId="0" xfId="44" applyFont="1" applyFill="1" applyAlignment="1">
      <alignment/>
    </xf>
    <xf numFmtId="2" fontId="0" fillId="0" borderId="0" xfId="0" applyNumberFormat="1" applyAlignment="1">
      <alignment/>
    </xf>
    <xf numFmtId="44" fontId="0" fillId="0" borderId="0" xfId="44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49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43" fontId="0" fillId="0" borderId="12" xfId="42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9" fillId="0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2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0" fontId="0" fillId="0" borderId="13" xfId="0" applyFont="1" applyBorder="1" applyAlignment="1">
      <alignment/>
    </xf>
    <xf numFmtId="44" fontId="0" fillId="0" borderId="0" xfId="44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wrapText="1"/>
    </xf>
    <xf numFmtId="165" fontId="0" fillId="0" borderId="13" xfId="0" applyNumberFormat="1" applyFont="1" applyFill="1" applyBorder="1" applyAlignment="1">
      <alignment/>
    </xf>
    <xf numFmtId="166" fontId="0" fillId="0" borderId="0" xfId="44" applyNumberFormat="1" applyFont="1" applyFill="1" applyAlignment="1">
      <alignment horizontal="left" indent="3"/>
    </xf>
    <xf numFmtId="43" fontId="0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44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65" fontId="51" fillId="0" borderId="0" xfId="42" applyNumberFormat="1" applyFont="1" applyFill="1" applyAlignment="1">
      <alignment/>
    </xf>
    <xf numFmtId="165" fontId="52" fillId="0" borderId="0" xfId="42" applyNumberFormat="1" applyFont="1" applyFill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44" fontId="0" fillId="0" borderId="0" xfId="44" applyFont="1" applyFill="1" applyAlignment="1">
      <alignment/>
    </xf>
    <xf numFmtId="17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41" fontId="0" fillId="0" borderId="13" xfId="0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>
      <alignment horizontal="right"/>
    </xf>
    <xf numFmtId="41" fontId="0" fillId="0" borderId="13" xfId="42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 quotePrefix="1">
      <alignment horizontal="right"/>
    </xf>
    <xf numFmtId="41" fontId="0" fillId="0" borderId="0" xfId="0" applyNumberFormat="1" applyFont="1" applyFill="1" applyBorder="1" applyAlignment="1" quotePrefix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Alignment="1">
      <alignment/>
    </xf>
    <xf numFmtId="43" fontId="0" fillId="0" borderId="0" xfId="42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165" fontId="16" fillId="0" borderId="0" xfId="42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13" xfId="42" applyFont="1" applyFill="1" applyBorder="1" applyAlignment="1" applyProtection="1">
      <alignment/>
      <protection locked="0"/>
    </xf>
    <xf numFmtId="43" fontId="0" fillId="0" borderId="13" xfId="44" applyNumberFormat="1" applyFont="1" applyFill="1" applyBorder="1" applyAlignment="1">
      <alignment/>
    </xf>
    <xf numFmtId="165" fontId="0" fillId="0" borderId="0" xfId="42" applyNumberFormat="1" applyFont="1" applyFill="1" applyBorder="1" applyAlignment="1" applyProtection="1">
      <alignment/>
      <protection locked="0"/>
    </xf>
    <xf numFmtId="41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 applyProtection="1">
      <alignment horizontal="right"/>
      <protection locked="0"/>
    </xf>
    <xf numFmtId="165" fontId="0" fillId="0" borderId="13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 applyProtection="1">
      <alignment/>
      <protection locked="0"/>
    </xf>
    <xf numFmtId="41" fontId="0" fillId="0" borderId="0" xfId="44" applyNumberFormat="1" applyFont="1" applyFill="1" applyAlignment="1" applyProtection="1">
      <alignment/>
      <protection locked="0"/>
    </xf>
    <xf numFmtId="43" fontId="0" fillId="0" borderId="0" xfId="42" applyFont="1" applyFill="1" applyBorder="1" applyAlignment="1">
      <alignment/>
    </xf>
    <xf numFmtId="43" fontId="0" fillId="0" borderId="0" xfId="42" applyFont="1" applyFill="1" applyAlignment="1" applyProtection="1">
      <alignment/>
      <protection locked="0"/>
    </xf>
    <xf numFmtId="165" fontId="0" fillId="0" borderId="13" xfId="0" applyNumberFormat="1" applyFont="1" applyFill="1" applyBorder="1" applyAlignment="1">
      <alignment/>
    </xf>
    <xf numFmtId="41" fontId="0" fillId="0" borderId="0" xfId="42" applyNumberFormat="1" applyFont="1" applyFill="1" applyAlignment="1" applyProtection="1">
      <alignment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Fill="1" applyAlignment="1">
      <alignment horizontal="right" vertical="top"/>
    </xf>
    <xf numFmtId="165" fontId="0" fillId="0" borderId="13" xfId="42" applyNumberFormat="1" applyFont="1" applyFill="1" applyBorder="1" applyAlignment="1">
      <alignment horizontal="right"/>
    </xf>
    <xf numFmtId="165" fontId="0" fillId="0" borderId="13" xfId="42" applyNumberFormat="1" applyFont="1" applyFill="1" applyBorder="1" applyAlignment="1">
      <alignment horizontal="right" vertical="top"/>
    </xf>
    <xf numFmtId="165" fontId="0" fillId="0" borderId="0" xfId="42" applyNumberFormat="1" applyFont="1" applyFill="1" applyAlignment="1" applyProtection="1">
      <alignment horizontal="left" indent="2"/>
      <protection locked="0"/>
    </xf>
    <xf numFmtId="0" fontId="0" fillId="0" borderId="13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11" xfId="0" applyNumberFormat="1" applyFont="1" applyBorder="1" applyAlignment="1">
      <alignment/>
    </xf>
    <xf numFmtId="165" fontId="2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0" fontId="43" fillId="0" borderId="0" xfId="52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165" fontId="53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3" fillId="0" borderId="0" xfId="52" applyAlignment="1" applyProtection="1">
      <alignment/>
      <protection/>
    </xf>
    <xf numFmtId="0" fontId="0" fillId="0" borderId="0" xfId="0" applyFont="1" applyFill="1" applyAlignment="1">
      <alignment horizontal="left"/>
    </xf>
    <xf numFmtId="164" fontId="0" fillId="0" borderId="0" xfId="42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 horizontal="right" indent="3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 vertical="center"/>
    </xf>
    <xf numFmtId="43" fontId="0" fillId="0" borderId="0" xfId="42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" fontId="0" fillId="0" borderId="0" xfId="44" applyNumberFormat="1" applyFont="1" applyFill="1" applyBorder="1" applyAlignment="1">
      <alignment horizontal="left" indent="3"/>
    </xf>
    <xf numFmtId="5" fontId="0" fillId="0" borderId="0" xfId="44" applyNumberFormat="1" applyFont="1" applyBorder="1" applyAlignment="1">
      <alignment/>
    </xf>
    <xf numFmtId="7" fontId="0" fillId="0" borderId="0" xfId="44" applyNumberFormat="1" applyFont="1" applyBorder="1" applyAlignment="1">
      <alignment/>
    </xf>
    <xf numFmtId="7" fontId="0" fillId="0" borderId="0" xfId="44" applyNumberFormat="1" applyFont="1" applyBorder="1" applyAlignment="1">
      <alignment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2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5" fontId="0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3" fontId="0" fillId="0" borderId="10" xfId="42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26" xfId="42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/>
    </xf>
    <xf numFmtId="165" fontId="0" fillId="0" borderId="27" xfId="42" applyNumberFormat="1" applyFont="1" applyFill="1" applyBorder="1" applyAlignment="1">
      <alignment horizont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65" fontId="0" fillId="0" borderId="25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center" wrapText="1"/>
    </xf>
    <xf numFmtId="165" fontId="0" fillId="0" borderId="0" xfId="42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center" vertical="center" wrapText="1"/>
    </xf>
    <xf numFmtId="44" fontId="0" fillId="0" borderId="11" xfId="44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.state.md.us/sdatweb/stats/AnnualRpt_2011.pdf" TargetMode="External" /><Relationship Id="rId2" Type="http://schemas.openxmlformats.org/officeDocument/2006/relationships/hyperlink" Target="http://www.census.gov/popest/counties/tables/CO-EST2009-01-24.xls" TargetMode="Externa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RowColHeaders="0" zoomScalePageLayoutView="0" workbookViewId="0" topLeftCell="C4">
      <selection activeCell="A2" sqref="A2:L2"/>
    </sheetView>
  </sheetViews>
  <sheetFormatPr defaultColWidth="9.140625" defaultRowHeight="12.75"/>
  <cols>
    <col min="1" max="1" width="14.140625" style="89" bestFit="1" customWidth="1"/>
    <col min="2" max="2" width="15.57421875" style="89" customWidth="1"/>
    <col min="3" max="3" width="14.8515625" style="89" bestFit="1" customWidth="1"/>
    <col min="4" max="4" width="13.28125" style="89" bestFit="1" customWidth="1"/>
    <col min="5" max="5" width="14.8515625" style="89" bestFit="1" customWidth="1"/>
    <col min="6" max="6" width="17.7109375" style="89" bestFit="1" customWidth="1"/>
    <col min="7" max="7" width="13.28125" style="89" bestFit="1" customWidth="1"/>
    <col min="8" max="8" width="2.7109375" style="89" customWidth="1"/>
    <col min="9" max="12" width="9.140625" style="89" customWidth="1"/>
  </cols>
  <sheetData>
    <row r="1" spans="1:12" ht="12.75">
      <c r="A1" s="426" t="s">
        <v>85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2.7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2.75">
      <c r="A3" s="426" t="s">
        <v>272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</row>
    <row r="4" spans="1:12" ht="13.5" thickBot="1">
      <c r="A4" s="23"/>
      <c r="B4" s="122"/>
      <c r="C4" s="23"/>
      <c r="D4" s="23"/>
      <c r="E4" s="23"/>
      <c r="F4" s="23"/>
      <c r="G4" s="23"/>
      <c r="H4" s="23"/>
      <c r="I4" s="46"/>
      <c r="J4" s="23"/>
      <c r="K4" s="23"/>
      <c r="L4" s="23"/>
    </row>
    <row r="5" spans="1:60" ht="15" customHeight="1" thickTop="1">
      <c r="A5" s="123" t="s">
        <v>77</v>
      </c>
      <c r="B5" s="124" t="s">
        <v>43</v>
      </c>
      <c r="C5" s="424"/>
      <c r="D5" s="424"/>
      <c r="E5" s="425"/>
      <c r="F5" s="425"/>
      <c r="G5" s="123"/>
      <c r="H5" s="123"/>
      <c r="I5" s="424" t="s">
        <v>82</v>
      </c>
      <c r="J5" s="424"/>
      <c r="K5" s="424"/>
      <c r="L5" s="42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12" ht="12.75">
      <c r="A6" s="32" t="s">
        <v>33</v>
      </c>
      <c r="B6" s="125" t="s">
        <v>83</v>
      </c>
      <c r="C6" s="423" t="s">
        <v>77</v>
      </c>
      <c r="D6" s="423"/>
      <c r="E6" s="126"/>
      <c r="F6" s="126"/>
      <c r="G6" s="125" t="s">
        <v>79</v>
      </c>
      <c r="H6" s="125"/>
      <c r="I6" s="127"/>
      <c r="J6" s="127"/>
      <c r="K6" s="127"/>
      <c r="L6" s="127" t="s">
        <v>141</v>
      </c>
    </row>
    <row r="7" spans="1:12" ht="13.5" thickBot="1">
      <c r="A7" s="51" t="s">
        <v>132</v>
      </c>
      <c r="B7" s="128" t="s">
        <v>84</v>
      </c>
      <c r="C7" s="48" t="s">
        <v>78</v>
      </c>
      <c r="D7" s="48" t="s">
        <v>214</v>
      </c>
      <c r="E7" s="48" t="s">
        <v>44</v>
      </c>
      <c r="F7" s="48" t="s">
        <v>51</v>
      </c>
      <c r="G7" s="48" t="s">
        <v>81</v>
      </c>
      <c r="H7" s="48"/>
      <c r="I7" s="128" t="s">
        <v>77</v>
      </c>
      <c r="J7" s="128" t="s">
        <v>44</v>
      </c>
      <c r="K7" s="129" t="s">
        <v>51</v>
      </c>
      <c r="L7" s="129" t="s">
        <v>81</v>
      </c>
    </row>
    <row r="8" spans="1:12" ht="12.75">
      <c r="A8" s="32" t="s">
        <v>0</v>
      </c>
      <c r="B8" s="130">
        <f aca="true" t="shared" si="0" ref="B8:G8">SUM(B10:B37)</f>
        <v>13452227044.560001</v>
      </c>
      <c r="C8" s="130">
        <f t="shared" si="0"/>
        <v>6288481429.09</v>
      </c>
      <c r="D8" s="130">
        <f t="shared" si="0"/>
        <v>233900725.08999997</v>
      </c>
      <c r="E8" s="130">
        <f t="shared" si="0"/>
        <v>5508344458.849999</v>
      </c>
      <c r="F8" s="130">
        <f t="shared" si="0"/>
        <v>1254655413.9200003</v>
      </c>
      <c r="G8" s="130">
        <f t="shared" si="0"/>
        <v>166845017.60999995</v>
      </c>
      <c r="H8" s="130"/>
      <c r="I8" s="131">
        <f>IF(B8&lt;&gt;0,((+C8+D8)/B8),(IF(C8&lt;&gt;0,1,0)))</f>
        <v>0.48485519405633376</v>
      </c>
      <c r="J8" s="131">
        <f>IF($B8&lt;&gt;0,(E8/$B8),(IF(E8&lt;&gt;0,1,0)))</f>
        <v>0.409474538349956</v>
      </c>
      <c r="K8" s="131">
        <f>IF($B8&lt;&gt;0,(F8/$B8),(IF(F8&lt;&gt;0,1,0)))</f>
        <v>0.09326748721709803</v>
      </c>
      <c r="L8" s="131">
        <f>IF($B8&lt;&gt;0,(G8/$B8),(IF(G8&lt;&gt;0,1,0)))</f>
        <v>0.012402780376612143</v>
      </c>
    </row>
    <row r="9" spans="1:12" ht="12.75">
      <c r="A9" s="132"/>
      <c r="B9" s="133"/>
      <c r="C9" s="133"/>
      <c r="D9" s="30"/>
      <c r="E9" s="127"/>
      <c r="F9" s="127"/>
      <c r="G9" s="127"/>
      <c r="H9" s="127"/>
      <c r="I9" s="134"/>
      <c r="J9" s="134"/>
      <c r="K9" s="134"/>
      <c r="L9" s="134"/>
    </row>
    <row r="10" spans="1:12" ht="12.75">
      <c r="A10" s="23" t="s">
        <v>1</v>
      </c>
      <c r="B10" s="76">
        <f aca="true" t="shared" si="1" ref="B10:B28">SUM(C10:G10)</f>
        <v>141304363.4</v>
      </c>
      <c r="C10" s="133">
        <f>'table 2a'!C11+table4!C11+table5!C11</f>
        <v>29005829.47</v>
      </c>
      <c r="D10" s="30">
        <f>'table 2a'!D11+table4!D11+table5!D11+'table 6'!C12+'table 6'!D12+'table 6'!F12+'table 6'!E12</f>
        <v>3849775.47</v>
      </c>
      <c r="E10" s="133">
        <f>'table 2a'!E11+table4!E11+table5!E11+'table 6'!G12</f>
        <v>88652652.19</v>
      </c>
      <c r="F10" s="30">
        <f>'table 2a'!F11+'table 6'!I12</f>
        <v>17047593.17</v>
      </c>
      <c r="G10" s="49">
        <f>table4!G11+table5!G11+'table 6'!K12</f>
        <v>2748513.0999999996</v>
      </c>
      <c r="H10" s="135"/>
      <c r="I10" s="136">
        <f>IF(B10&lt;&gt;0,((+C10+D10)/B10*100),(IF(C10&lt;&gt;0,1,0)))</f>
        <v>23.251656317925136</v>
      </c>
      <c r="J10" s="136">
        <f aca="true" t="shared" si="2" ref="J10:L14">IF($B10&lt;&gt;0,(E10/$B10*100),(IF(E10&lt;&gt;0,1,0)))</f>
        <v>62.7387930966044</v>
      </c>
      <c r="K10" s="136">
        <f t="shared" si="2"/>
        <v>12.064449221389014</v>
      </c>
      <c r="L10" s="136">
        <f t="shared" si="2"/>
        <v>1.9451013640814432</v>
      </c>
    </row>
    <row r="11" spans="1:12" ht="12.75">
      <c r="A11" s="23" t="s">
        <v>2</v>
      </c>
      <c r="B11" s="76">
        <f t="shared" si="1"/>
        <v>1162851575.34</v>
      </c>
      <c r="C11" s="133">
        <f>'table 2a'!C12+table4!C12+table5!C12</f>
        <v>631067806</v>
      </c>
      <c r="D11" s="30">
        <f>'table 2a'!D12+table4!D12+table5!D12+'table 6'!C13+'table 6'!D13+'table 6'!F13+'table 6'!E13</f>
        <v>18139578.38</v>
      </c>
      <c r="E11" s="133">
        <f>'table 2a'!E12+table4!E12+table5!E12+'table 6'!G13</f>
        <v>360456964.92</v>
      </c>
      <c r="F11" s="30">
        <f>'table 2a'!F12+'table 6'!I13</f>
        <v>78340830.04</v>
      </c>
      <c r="G11" s="49">
        <f>table4!G12+table5!G12+'table 6'!K13</f>
        <v>74846396</v>
      </c>
      <c r="H11" s="76"/>
      <c r="I11" s="136">
        <f>IF(B11&lt;&gt;0,((+C11+D11)/B11*100),(IF(C11&lt;&gt;0,1,0)))</f>
        <v>55.828912145574705</v>
      </c>
      <c r="J11" s="136">
        <f t="shared" si="2"/>
        <v>30.99767610622258</v>
      </c>
      <c r="K11" s="136">
        <f t="shared" si="2"/>
        <v>6.736958671367354</v>
      </c>
      <c r="L11" s="136">
        <f t="shared" si="2"/>
        <v>6.43645307683537</v>
      </c>
    </row>
    <row r="12" spans="1:12" ht="12.75">
      <c r="A12" s="23" t="s">
        <v>3</v>
      </c>
      <c r="B12" s="76">
        <f t="shared" si="1"/>
        <v>1505682519.2199998</v>
      </c>
      <c r="C12" s="133">
        <f>'table 2a'!C13+table4!C13+table5!C13</f>
        <v>251685649.89</v>
      </c>
      <c r="D12" s="30">
        <f>'table 2a'!D13+table4!D13+table5!D13+'table 6'!C14+'table 6'!D14+'table 6'!F14+'table 6'!E14</f>
        <v>11706355.280000001</v>
      </c>
      <c r="E12" s="133">
        <f>'table 2a'!E13+table4!E13+table5!E13+'table 6'!G14</f>
        <v>892935823.6499999</v>
      </c>
      <c r="F12" s="30">
        <f>'table 2a'!F13+'table 6'!I14</f>
        <v>277753958.79999995</v>
      </c>
      <c r="G12" s="49">
        <f>table4!G13+table5!G13+'table 6'!K14</f>
        <v>71600731.6</v>
      </c>
      <c r="H12" s="76"/>
      <c r="I12" s="136">
        <f>IF(B12&lt;&gt;0,((+C12+D12)/B12*100),(IF(C12&lt;&gt;0,1,0)))</f>
        <v>17.493196726920026</v>
      </c>
      <c r="J12" s="136">
        <f t="shared" si="2"/>
        <v>59.30438935510616</v>
      </c>
      <c r="K12" s="136">
        <f t="shared" si="2"/>
        <v>18.44704678804978</v>
      </c>
      <c r="L12" s="136">
        <f t="shared" si="2"/>
        <v>4.755367129924034</v>
      </c>
    </row>
    <row r="13" spans="1:12" ht="12.75">
      <c r="A13" s="23" t="s">
        <v>4</v>
      </c>
      <c r="B13" s="76">
        <f t="shared" si="1"/>
        <v>1535340195.71</v>
      </c>
      <c r="C13" s="133">
        <f>'table 2a'!C14+table4!C14+table5!C14</f>
        <v>768781346</v>
      </c>
      <c r="D13" s="30">
        <f>'table 2a'!D14+table4!D14+table5!D14+'table 6'!C15+'table 6'!D15+'table 6'!F15+'table 6'!E15</f>
        <v>18664874.73</v>
      </c>
      <c r="E13" s="133">
        <f>'table 2a'!E14+table4!E14+table5!E14+'table 6'!G15</f>
        <v>609619426.04</v>
      </c>
      <c r="F13" s="30">
        <f>'table 2a'!F14+'table 6'!I15</f>
        <v>138274548.94</v>
      </c>
      <c r="G13" s="49">
        <f>table4!G14+table5!G14+'table 6'!K15</f>
        <v>0</v>
      </c>
      <c r="H13" s="76"/>
      <c r="I13" s="136">
        <f>IF(B13&lt;&gt;0,((+C13+D13)/B13*100),(IF(C13&lt;&gt;0,1,0)))</f>
        <v>51.28806129939526</v>
      </c>
      <c r="J13" s="136">
        <f t="shared" si="2"/>
        <v>39.70582075186852</v>
      </c>
      <c r="K13" s="136">
        <f t="shared" si="2"/>
        <v>9.006117948736211</v>
      </c>
      <c r="L13" s="136">
        <f t="shared" si="2"/>
        <v>0</v>
      </c>
    </row>
    <row r="14" spans="1:12" ht="12.75">
      <c r="A14" s="23" t="s">
        <v>5</v>
      </c>
      <c r="B14" s="76">
        <f t="shared" si="1"/>
        <v>251503959.90999997</v>
      </c>
      <c r="C14" s="133">
        <f>'table 2a'!C15+table4!C15+table5!C15</f>
        <v>122200485.52</v>
      </c>
      <c r="D14" s="30">
        <f>'table 2a'!D15+table4!D15+table5!D15+'table 6'!C16+'table 6'!D16+'table 6'!F16+'table 6'!E16</f>
        <v>4865589.21</v>
      </c>
      <c r="E14" s="133">
        <f>'table 2a'!E15+table4!E15+table5!E15+'table 6'!G16</f>
        <v>108767318.32</v>
      </c>
      <c r="F14" s="30">
        <f>'table 2a'!F15+'table 6'!I16</f>
        <v>15670566.859999998</v>
      </c>
      <c r="G14" s="49">
        <f>table4!G15+table5!G15+'table 6'!K16</f>
        <v>0</v>
      </c>
      <c r="H14" s="76"/>
      <c r="I14" s="136">
        <f>IF(B14&lt;&gt;0,((+C14+D14)/B14*100),(IF(C14&lt;&gt;0,1,0)))</f>
        <v>50.522494665877325</v>
      </c>
      <c r="J14" s="136">
        <f t="shared" si="2"/>
        <v>43.24676174439643</v>
      </c>
      <c r="K14" s="136">
        <f t="shared" si="2"/>
        <v>6.230743589726249</v>
      </c>
      <c r="L14" s="136">
        <f t="shared" si="2"/>
        <v>0</v>
      </c>
    </row>
    <row r="15" spans="1:12" ht="12.75">
      <c r="A15" s="23"/>
      <c r="B15" s="76"/>
      <c r="C15" s="30"/>
      <c r="D15" s="30"/>
      <c r="E15" s="49"/>
      <c r="F15" s="30"/>
      <c r="G15" s="30"/>
      <c r="H15" s="76"/>
      <c r="I15" s="136"/>
      <c r="J15" s="136"/>
      <c r="K15" s="136"/>
      <c r="L15" s="136"/>
    </row>
    <row r="16" spans="1:12" ht="12.75">
      <c r="A16" s="23" t="s">
        <v>6</v>
      </c>
      <c r="B16" s="76">
        <f t="shared" si="1"/>
        <v>74651625.28999999</v>
      </c>
      <c r="C16" s="133">
        <f>'table 2a'!C17+table4!C17+table5!C17</f>
        <v>12415902</v>
      </c>
      <c r="D16" s="30">
        <f>'table 2a'!D17+table4!D17+table5!D17+'table 6'!C18+'table 6'!D18+'table 6'!F18+'table 6'!E18</f>
        <v>3723642.9299999997</v>
      </c>
      <c r="E16" s="133">
        <f>'table 2a'!E17+table4!E17+table5!E17+'table 6'!G18</f>
        <v>48679276.38999999</v>
      </c>
      <c r="F16" s="30">
        <f>'table 2a'!F17+'table 6'!I18</f>
        <v>8750205.91</v>
      </c>
      <c r="G16" s="49">
        <f>table4!G17+table5!G17+'table 6'!K18</f>
        <v>1082598.06</v>
      </c>
      <c r="H16" s="76"/>
      <c r="I16" s="136">
        <f>IF(B16&lt;&gt;0,((+C16+D16)/B16*100),(IF(C16&lt;&gt;0,1,0)))</f>
        <v>21.61981720733143</v>
      </c>
      <c r="J16" s="136">
        <f aca="true" t="shared" si="3" ref="J16:L20">IF($B16&lt;&gt;0,(E16/$B16*100),(IF(E16&lt;&gt;0,1,0)))</f>
        <v>65.20859552741828</v>
      </c>
      <c r="K16" s="136">
        <f t="shared" si="3"/>
        <v>11.721387010675224</v>
      </c>
      <c r="L16" s="136">
        <f t="shared" si="3"/>
        <v>1.4502002545750605</v>
      </c>
    </row>
    <row r="17" spans="1:12" ht="12.75">
      <c r="A17" s="23" t="s">
        <v>7</v>
      </c>
      <c r="B17" s="76">
        <f t="shared" si="1"/>
        <v>367048736.21</v>
      </c>
      <c r="C17" s="133">
        <f>'table 2a'!C18+table4!C18+table5!C18</f>
        <v>178466589.49</v>
      </c>
      <c r="D17" s="30">
        <f>'table 2a'!D18+table4!D18+table5!D18+'table 6'!C19+'table 6'!D19+'table 6'!F19+'table 6'!E19</f>
        <v>5336456.159999999</v>
      </c>
      <c r="E17" s="133">
        <f>'table 2a'!E18+table4!E18+table5!E18+'table 6'!G19</f>
        <v>165803055.37</v>
      </c>
      <c r="F17" s="30">
        <f>'table 2a'!F18+'table 6'!I19</f>
        <v>17383648.180000003</v>
      </c>
      <c r="G17" s="49">
        <f>table4!G18+table5!G18+'table 6'!K19</f>
        <v>58987.009999999995</v>
      </c>
      <c r="H17" s="76"/>
      <c r="I17" s="136">
        <f>IF(B17&lt;&gt;0,((+C17+D17)/B17*100),(IF(C17&lt;&gt;0,1,0)))</f>
        <v>50.07592385356712</v>
      </c>
      <c r="J17" s="136">
        <f t="shared" si="3"/>
        <v>45.1719455792211</v>
      </c>
      <c r="K17" s="136">
        <f t="shared" si="3"/>
        <v>4.736059946560959</v>
      </c>
      <c r="L17" s="136">
        <f t="shared" si="3"/>
        <v>0.016070620650836868</v>
      </c>
    </row>
    <row r="18" spans="1:12" ht="12.75">
      <c r="A18" s="23" t="s">
        <v>8</v>
      </c>
      <c r="B18" s="76">
        <f t="shared" si="1"/>
        <v>216368787.89999998</v>
      </c>
      <c r="C18" s="133">
        <f>'table 2a'!C19+table4!C19+table5!C19</f>
        <v>72619884.72</v>
      </c>
      <c r="D18" s="30">
        <f>'table 2a'!D19+table4!D19+table5!D19+'table 6'!C20+'table 6'!D20+'table 6'!F20+'table 6'!E20</f>
        <v>12646503.04</v>
      </c>
      <c r="E18" s="133">
        <f>'table 2a'!E19+table4!E19+table5!E19+'table 6'!G20</f>
        <v>110327687.14</v>
      </c>
      <c r="F18" s="30">
        <f>'table 2a'!F19+'table 6'!I20</f>
        <v>20774713</v>
      </c>
      <c r="G18" s="49">
        <f>table4!G19+table5!G19+'table 6'!K20</f>
        <v>0</v>
      </c>
      <c r="H18" s="76"/>
      <c r="I18" s="136">
        <f>IF(B18&lt;&gt;0,((+C18+D18)/B18*100),(IF(C18&lt;&gt;0,1,0)))</f>
        <v>39.407896391880655</v>
      </c>
      <c r="J18" s="136">
        <f t="shared" si="3"/>
        <v>50.99057410766223</v>
      </c>
      <c r="K18" s="136">
        <f t="shared" si="3"/>
        <v>9.601529500457124</v>
      </c>
      <c r="L18" s="136">
        <f t="shared" si="3"/>
        <v>0</v>
      </c>
    </row>
    <row r="19" spans="1:12" ht="12.75">
      <c r="A19" s="23" t="s">
        <v>9</v>
      </c>
      <c r="B19" s="76">
        <f t="shared" si="1"/>
        <v>368790832.5</v>
      </c>
      <c r="C19" s="133">
        <f>'table 2a'!C20+table4!C20+table5!C20</f>
        <v>165173144.83</v>
      </c>
      <c r="D19" s="30">
        <f>'table 2a'!D20+table4!D20+table5!D20+'table 6'!C21+'table 6'!D21+'table 6'!F21+'table 6'!E21</f>
        <v>8717678.31</v>
      </c>
      <c r="E19" s="133">
        <f>'table 2a'!E20+table4!E20+table5!E20+'table 6'!G21</f>
        <v>172938041.77</v>
      </c>
      <c r="F19" s="30">
        <f>'table 2a'!F20+'table 6'!I21</f>
        <v>21961967.590000004</v>
      </c>
      <c r="G19" s="49">
        <f>table4!G20+table5!G20+'table 6'!K21</f>
        <v>0</v>
      </c>
      <c r="H19" s="76"/>
      <c r="I19" s="136">
        <f>IF(B19&lt;&gt;0,((+C19+D19)/B19*100),(IF(C19&lt;&gt;0,1,0)))</f>
        <v>47.15161219198691</v>
      </c>
      <c r="J19" s="136">
        <f t="shared" si="3"/>
        <v>46.89325941148497</v>
      </c>
      <c r="K19" s="136">
        <f t="shared" si="3"/>
        <v>5.955128396528133</v>
      </c>
      <c r="L19" s="136">
        <f t="shared" si="3"/>
        <v>0</v>
      </c>
    </row>
    <row r="20" spans="1:12" ht="12.75">
      <c r="A20" s="23" t="s">
        <v>10</v>
      </c>
      <c r="B20" s="76">
        <f t="shared" si="1"/>
        <v>74289679</v>
      </c>
      <c r="C20" s="133">
        <f>'table 2a'!C21+table4!C21+table5!C21</f>
        <v>25873707</v>
      </c>
      <c r="D20" s="30">
        <f>'table 2a'!D21+table4!D21+table5!D21+'table 6'!C22+'table 6'!D22+'table 6'!F22+'table 6'!E22</f>
        <v>1775333.19</v>
      </c>
      <c r="E20" s="133">
        <f>'table 2a'!E21+table4!E21+table5!E21+'table 6'!G22</f>
        <v>39165989.71</v>
      </c>
      <c r="F20" s="30">
        <f>'table 2a'!F21+'table 6'!I22</f>
        <v>7474649.1</v>
      </c>
      <c r="G20" s="49">
        <f>table4!G21+table5!G21+'table 6'!K22</f>
        <v>0</v>
      </c>
      <c r="H20" s="76"/>
      <c r="I20" s="136">
        <f>IF(B20&lt;&gt;0,((+C20+D20)/B20*100),(IF(C20&lt;&gt;0,1,0)))</f>
        <v>37.217875433275196</v>
      </c>
      <c r="J20" s="136">
        <f t="shared" si="3"/>
        <v>52.72063392547436</v>
      </c>
      <c r="K20" s="136">
        <f t="shared" si="3"/>
        <v>10.061490641250447</v>
      </c>
      <c r="L20" s="136">
        <f t="shared" si="3"/>
        <v>0</v>
      </c>
    </row>
    <row r="21" spans="1:12" ht="12.75">
      <c r="A21" s="23"/>
      <c r="B21" s="76"/>
      <c r="C21" s="30"/>
      <c r="D21" s="30"/>
      <c r="E21" s="49"/>
      <c r="F21" s="30"/>
      <c r="G21" s="30"/>
      <c r="H21" s="76"/>
      <c r="I21" s="136"/>
      <c r="J21" s="136"/>
      <c r="K21" s="136"/>
      <c r="L21" s="136"/>
    </row>
    <row r="22" spans="1:12" ht="12.75">
      <c r="A22" s="23" t="s">
        <v>11</v>
      </c>
      <c r="B22" s="76">
        <f t="shared" si="1"/>
        <v>563788664.52</v>
      </c>
      <c r="C22" s="133">
        <f>'table 2a'!C23+table4!C23+table5!C23</f>
        <v>260556446</v>
      </c>
      <c r="D22" s="30">
        <f>'table 2a'!D23+table4!D23+table5!D23+'table 6'!C24+'table 6'!D24+'table 6'!F24+'table 6'!E24</f>
        <v>18144307.01</v>
      </c>
      <c r="E22" s="133">
        <f>'table 2a'!E23+table4!E23+table5!E23+'table 6'!G24</f>
        <v>245680403</v>
      </c>
      <c r="F22" s="30">
        <f>'table 2a'!F23+'table 6'!I24</f>
        <v>39407508.50999999</v>
      </c>
      <c r="G22" s="49">
        <f>table4!G23+table5!G23+'table 6'!K24</f>
        <v>0</v>
      </c>
      <c r="H22" s="76"/>
      <c r="I22" s="136">
        <f>IF(B22&lt;&gt;0,((+C22+D22)/B22*100),(IF(C22&lt;&gt;0,1,0)))</f>
        <v>49.43355029091992</v>
      </c>
      <c r="J22" s="136">
        <f aca="true" t="shared" si="4" ref="J22:L26">IF($B22&lt;&gt;0,(E22/$B22*100),(IF(E22&lt;&gt;0,1,0)))</f>
        <v>43.57668368681518</v>
      </c>
      <c r="K22" s="136">
        <f t="shared" si="4"/>
        <v>6.989766022264897</v>
      </c>
      <c r="L22" s="136">
        <f t="shared" si="4"/>
        <v>0</v>
      </c>
    </row>
    <row r="23" spans="1:12" ht="12.75">
      <c r="A23" s="23" t="s">
        <v>12</v>
      </c>
      <c r="B23" s="76">
        <f t="shared" si="1"/>
        <v>60632382.64</v>
      </c>
      <c r="C23" s="133">
        <f>'table 2a'!C24+table4!C24+table5!C24</f>
        <v>23494333.580000002</v>
      </c>
      <c r="D23" s="30">
        <f>'table 2a'!D24+table4!D24+table5!D24+'table 6'!C25+'table 6'!D25+'table 6'!F25+'table 6'!E25</f>
        <v>2405076.61</v>
      </c>
      <c r="E23" s="133">
        <f>'table 2a'!E24+table4!E24+table5!E24+'table 6'!G25</f>
        <v>26612899.94</v>
      </c>
      <c r="F23" s="30">
        <f>'table 2a'!F24+'table 6'!I25</f>
        <v>7829028.51</v>
      </c>
      <c r="G23" s="49">
        <f>table4!G24+table5!G24+'table 6'!K25</f>
        <v>291044</v>
      </c>
      <c r="H23" s="76"/>
      <c r="I23" s="136">
        <f>IF(B23&lt;&gt;0,((+C23+D23)/B23*100),(IF(C23&lt;&gt;0,1,0)))</f>
        <v>42.715474903527564</v>
      </c>
      <c r="J23" s="136">
        <f t="shared" si="4"/>
        <v>43.892221913844295</v>
      </c>
      <c r="K23" s="136">
        <f t="shared" si="4"/>
        <v>12.912289059270918</v>
      </c>
      <c r="L23" s="136">
        <f t="shared" si="4"/>
        <v>0.4800141233572345</v>
      </c>
    </row>
    <row r="24" spans="1:12" ht="12.75">
      <c r="A24" s="23" t="s">
        <v>13</v>
      </c>
      <c r="B24" s="76">
        <f t="shared" si="1"/>
        <v>570020533.12</v>
      </c>
      <c r="C24" s="133">
        <f>'table 2a'!C25+table4!C25+table5!C25</f>
        <v>264077211.28</v>
      </c>
      <c r="D24" s="30">
        <f>'table 2a'!D25+table4!D25+table5!D25+'table 6'!C26+'table 6'!D26+'table 6'!F26+'table 6'!E26</f>
        <v>15956355.76</v>
      </c>
      <c r="E24" s="133">
        <f>'table 2a'!E25+table4!E25+table5!E25+'table 6'!G26</f>
        <v>248376896.58</v>
      </c>
      <c r="F24" s="30">
        <f>'table 2a'!F25+'table 6'!I26</f>
        <v>41604911.5</v>
      </c>
      <c r="G24" s="49">
        <f>table4!G25+table5!G25+'table 6'!K26</f>
        <v>5158</v>
      </c>
      <c r="H24" s="76"/>
      <c r="I24" s="136">
        <f>IF(B24&lt;&gt;0,((+C24+D24)/B24*100),(IF(C24&lt;&gt;0,1,0)))</f>
        <v>49.12692627180286</v>
      </c>
      <c r="J24" s="136">
        <f t="shared" si="4"/>
        <v>43.57332449420941</v>
      </c>
      <c r="K24" s="136">
        <f t="shared" si="4"/>
        <v>7.2988443543035295</v>
      </c>
      <c r="L24" s="136">
        <f t="shared" si="4"/>
        <v>0.0009048796842050152</v>
      </c>
    </row>
    <row r="25" spans="1:12" ht="12.75">
      <c r="A25" s="23" t="s">
        <v>14</v>
      </c>
      <c r="B25" s="76">
        <f t="shared" si="1"/>
        <v>878794531.0200001</v>
      </c>
      <c r="C25" s="133">
        <f>'table 2a'!C26+table4!C26+table5!C26</f>
        <v>560959196</v>
      </c>
      <c r="D25" s="30">
        <f>'table 2a'!D26+table4!D26+table5!D26+'table 6'!C27+'table 6'!D27+'table 6'!F27+'table 6'!E27</f>
        <v>14264758</v>
      </c>
      <c r="E25" s="133">
        <f>'table 2a'!E26+table4!E26+table5!E26+'table 6'!G27</f>
        <v>263584030.19</v>
      </c>
      <c r="F25" s="30">
        <f>'table 2a'!F26+'table 6'!I27</f>
        <v>39986546.83</v>
      </c>
      <c r="G25" s="49">
        <f>table4!G26+table5!G26+'table 6'!K27</f>
        <v>0</v>
      </c>
      <c r="H25" s="76"/>
      <c r="I25" s="136">
        <f>IF(B25&lt;&gt;0,((+C25+D25)/B25*100),(IF(C25&lt;&gt;0,1,0)))</f>
        <v>65.45602341566106</v>
      </c>
      <c r="J25" s="136">
        <f t="shared" si="4"/>
        <v>29.9938177680809</v>
      </c>
      <c r="K25" s="136">
        <f t="shared" si="4"/>
        <v>4.550158816258036</v>
      </c>
      <c r="L25" s="136">
        <f t="shared" si="4"/>
        <v>0</v>
      </c>
    </row>
    <row r="26" spans="1:12" ht="12.75">
      <c r="A26" s="23" t="s">
        <v>15</v>
      </c>
      <c r="B26" s="76">
        <f t="shared" si="1"/>
        <v>33027136.040000003</v>
      </c>
      <c r="C26" s="133">
        <f>'table 2a'!C27+table4!C27+table5!C27</f>
        <v>17119319</v>
      </c>
      <c r="D26" s="30">
        <f>'table 2a'!D27+table4!D27+table5!D27+'table 6'!C28+'table 6'!D28+'table 6'!F28+'table 6'!E28</f>
        <v>573539.89</v>
      </c>
      <c r="E26" s="133">
        <f>'table 2a'!E27+table4!E27+table5!E27+'table 6'!G28</f>
        <v>11212594.03</v>
      </c>
      <c r="F26" s="30">
        <f>'table 2a'!F27+'table 6'!I28</f>
        <v>4121683.12</v>
      </c>
      <c r="G26" s="49">
        <f>table4!G27+table5!G27+'table 6'!K28</f>
        <v>0</v>
      </c>
      <c r="H26" s="76"/>
      <c r="I26" s="136">
        <f>IF(B26&lt;&gt;0,((+C26+D26)/B26*100),(IF(C26&lt;&gt;0,1,0)))</f>
        <v>53.57067251780999</v>
      </c>
      <c r="J26" s="136">
        <f t="shared" si="4"/>
        <v>33.949640733063084</v>
      </c>
      <c r="K26" s="136">
        <f t="shared" si="4"/>
        <v>12.479686749126916</v>
      </c>
      <c r="L26" s="136">
        <f t="shared" si="4"/>
        <v>0</v>
      </c>
    </row>
    <row r="27" spans="1:12" ht="12.75">
      <c r="A27" s="23"/>
      <c r="B27" s="76"/>
      <c r="C27" s="30"/>
      <c r="D27" s="30"/>
      <c r="E27" s="49"/>
      <c r="F27" s="30"/>
      <c r="G27" s="30"/>
      <c r="H27" s="76"/>
      <c r="I27" s="136"/>
      <c r="J27" s="136"/>
      <c r="K27" s="136"/>
      <c r="L27" s="136"/>
    </row>
    <row r="28" spans="1:12" ht="12.75">
      <c r="A28" s="23" t="s">
        <v>16</v>
      </c>
      <c r="B28" s="76">
        <f t="shared" si="1"/>
        <v>2654412862.4500003</v>
      </c>
      <c r="C28" s="133">
        <f>'table 2a'!C29+table4!C29+table5!C29</f>
        <v>1782925904.64</v>
      </c>
      <c r="D28" s="30">
        <f>'table 2a'!D29+table4!D29+table5!D29+'table 6'!C30+'table 6'!D30+'table 6'!F30+'table 6'!E30</f>
        <v>39389118.3</v>
      </c>
      <c r="E28" s="133">
        <f>'table 2a'!E29+table4!E29+table5!E29+'table 6'!G30</f>
        <v>666592858.28</v>
      </c>
      <c r="F28" s="30">
        <f>'table 2a'!F29+'table 6'!I30</f>
        <v>165504981.23</v>
      </c>
      <c r="G28" s="49">
        <f>table4!G29+table5!G29+'table 6'!K30</f>
        <v>0</v>
      </c>
      <c r="H28" s="76"/>
      <c r="I28" s="136">
        <f>IF(B28&lt;&gt;0,((+C28+D28)/B28*100),(IF(C28&lt;&gt;0,1,0)))</f>
        <v>68.65228272206377</v>
      </c>
      <c r="J28" s="136">
        <f aca="true" t="shared" si="5" ref="J28:L32">IF($B28&lt;&gt;0,(E28/$B28*100),(IF(E28&lt;&gt;0,1,0)))</f>
        <v>25.112629150867676</v>
      </c>
      <c r="K28" s="136">
        <f t="shared" si="5"/>
        <v>6.235088127068534</v>
      </c>
      <c r="L28" s="136">
        <f t="shared" si="5"/>
        <v>0</v>
      </c>
    </row>
    <row r="29" spans="1:12" ht="12.75">
      <c r="A29" s="23" t="s">
        <v>17</v>
      </c>
      <c r="B29" s="76">
        <f aca="true" t="shared" si="6" ref="B29:B37">SUM(C29:G29)</f>
        <v>1895459683.43</v>
      </c>
      <c r="C29" s="133">
        <f>'table 2a'!C30+table4!C30+table5!C30</f>
        <v>689293443.73</v>
      </c>
      <c r="D29" s="30">
        <f>'table 2a'!D30+table4!D30+table5!D30+'table 6'!C31+'table 6'!D31+'table 6'!F31+'table 6'!E31</f>
        <v>31873946.9</v>
      </c>
      <c r="E29" s="133">
        <f>'table 2a'!E30+table4!E30+table5!E30+'table 6'!G31</f>
        <v>927358447.23</v>
      </c>
      <c r="F29" s="30">
        <f>'table 2a'!F30+'table 6'!I31</f>
        <v>246933845.57</v>
      </c>
      <c r="G29" s="49">
        <f>table4!G30+table5!G30+'table 6'!K31</f>
        <v>0</v>
      </c>
      <c r="H29" s="76"/>
      <c r="I29" s="136">
        <f>IF(B29&lt;&gt;0,((+C29+D29)/B29*100),(IF(C29&lt;&gt;0,1,0)))</f>
        <v>38.047097331291404</v>
      </c>
      <c r="J29" s="136">
        <f t="shared" si="5"/>
        <v>48.9252530843528</v>
      </c>
      <c r="K29" s="136">
        <f t="shared" si="5"/>
        <v>13.02764958435579</v>
      </c>
      <c r="L29" s="136">
        <f t="shared" si="5"/>
        <v>0</v>
      </c>
    </row>
    <row r="30" spans="1:12" ht="12.75">
      <c r="A30" s="23" t="s">
        <v>18</v>
      </c>
      <c r="B30" s="76">
        <f t="shared" si="6"/>
        <v>115770734.07000001</v>
      </c>
      <c r="C30" s="133">
        <f>'table 2a'!C31+table4!C31+table5!C31</f>
        <v>61971306.95</v>
      </c>
      <c r="D30" s="30">
        <f>'table 2a'!D31+table4!D31+table5!D31+'table 6'!C32+'table 6'!D32+'table 6'!F32+'table 6'!E32</f>
        <v>2331362.7</v>
      </c>
      <c r="E30" s="133">
        <f>'table 2a'!E31+table4!E31+table5!E31+'table 6'!G32</f>
        <v>43418815.71</v>
      </c>
      <c r="F30" s="30">
        <f>'table 2a'!F31+'table 6'!I32</f>
        <v>8049180.709999999</v>
      </c>
      <c r="G30" s="49">
        <f>table4!G31+table5!G31+'table 6'!K32</f>
        <v>68</v>
      </c>
      <c r="H30" s="76"/>
      <c r="I30" s="136">
        <f>IF(B30&lt;&gt;0,((+C30+D30)/B30*100),(IF(C30&lt;&gt;0,1,0)))</f>
        <v>55.54311300394781</v>
      </c>
      <c r="J30" s="136">
        <f t="shared" si="5"/>
        <v>37.50413786246453</v>
      </c>
      <c r="K30" s="136">
        <f t="shared" si="5"/>
        <v>6.952690396808848</v>
      </c>
      <c r="L30" s="136">
        <f t="shared" si="5"/>
        <v>5.873677881223786E-05</v>
      </c>
    </row>
    <row r="31" spans="1:12" ht="12.75">
      <c r="A31" s="23" t="s">
        <v>19</v>
      </c>
      <c r="B31" s="76">
        <f t="shared" si="6"/>
        <v>222520412.14999998</v>
      </c>
      <c r="C31" s="133">
        <f>'table 2a'!C32+table4!C32+table5!C32</f>
        <v>86986699.41</v>
      </c>
      <c r="D31" s="30">
        <f>'table 2a'!D32+table4!D32+table5!D32+'table 6'!C33+'table 6'!D33+'table 6'!F33+'table 6'!E33</f>
        <v>4272413.67</v>
      </c>
      <c r="E31" s="133">
        <f>'table 2a'!E32+table4!E32+table5!E32+'table 6'!G33</f>
        <v>108685288.75</v>
      </c>
      <c r="F31" s="30">
        <f>'table 2a'!F32+'table 6'!I33</f>
        <v>22500845.410000004</v>
      </c>
      <c r="G31" s="49">
        <f>table4!G32+table5!G32+'table 6'!K33</f>
        <v>75164.91</v>
      </c>
      <c r="H31" s="76"/>
      <c r="I31" s="136">
        <f>IF(B31&lt;&gt;0,((+C31+D31)/B31*100),(IF(C31&lt;&gt;0,1,0)))</f>
        <v>41.0115693199789</v>
      </c>
      <c r="J31" s="136">
        <f t="shared" si="5"/>
        <v>48.84283994438036</v>
      </c>
      <c r="K31" s="136">
        <f t="shared" si="5"/>
        <v>10.111811852493014</v>
      </c>
      <c r="L31" s="136">
        <f t="shared" si="5"/>
        <v>0.03377888314773195</v>
      </c>
    </row>
    <row r="32" spans="1:12" ht="12.75">
      <c r="A32" s="23" t="s">
        <v>20</v>
      </c>
      <c r="B32" s="76">
        <f t="shared" si="6"/>
        <v>50817730.01</v>
      </c>
      <c r="C32" s="133">
        <f>'table 2a'!C33+table4!C33+table5!C33</f>
        <v>10971780</v>
      </c>
      <c r="D32" s="30">
        <f>'table 2a'!D33+table4!D33+table5!D33+'table 6'!C34+'table 6'!D34+'table 6'!F34+'table 6'!E34</f>
        <v>510685.50999999995</v>
      </c>
      <c r="E32" s="133">
        <f>'table 2a'!E33+table4!E33+table5!E33+'table 6'!G34</f>
        <v>31385176.07</v>
      </c>
      <c r="F32" s="30">
        <f>'table 2a'!F33+'table 6'!I34</f>
        <v>6717631.43</v>
      </c>
      <c r="G32" s="49">
        <f>table4!G33+table5!G33+'table 6'!K34</f>
        <v>1232457</v>
      </c>
      <c r="H32" s="76"/>
      <c r="I32" s="136">
        <f>IF(B32&lt;&gt;0,((+C32+D32)/B32*100),(IF(C32&lt;&gt;0,1,0)))</f>
        <v>22.595392410759906</v>
      </c>
      <c r="J32" s="136">
        <f t="shared" si="5"/>
        <v>61.76028733244081</v>
      </c>
      <c r="K32" s="136">
        <f t="shared" si="5"/>
        <v>13.219070251028711</v>
      </c>
      <c r="L32" s="136">
        <f t="shared" si="5"/>
        <v>2.425250005770575</v>
      </c>
    </row>
    <row r="33" spans="1:12" ht="12.75" customHeight="1">
      <c r="A33" s="23"/>
      <c r="B33" s="76"/>
      <c r="C33" s="30"/>
      <c r="D33" s="30"/>
      <c r="E33" s="49"/>
      <c r="F33" s="30"/>
      <c r="G33" s="30"/>
      <c r="H33" s="76"/>
      <c r="I33" s="23"/>
      <c r="J33" s="23"/>
      <c r="K33" s="23"/>
      <c r="L33" s="23"/>
    </row>
    <row r="34" spans="1:12" ht="12.75">
      <c r="A34" s="23" t="s">
        <v>21</v>
      </c>
      <c r="B34" s="76">
        <f t="shared" si="6"/>
        <v>58856256.74</v>
      </c>
      <c r="C34" s="133">
        <f>'table 2a'!C35+table4!C35+table5!C35</f>
        <v>35019764.34</v>
      </c>
      <c r="D34" s="30">
        <f>'table 2a'!D35+table4!D35+table5!D35+'table 6'!C36+'table 6'!D36+'table 6'!F36+'table 6'!E36</f>
        <v>5357226.68</v>
      </c>
      <c r="E34" s="133">
        <f>'table 2a'!E35+table4!E35+table5!E35+'table 6'!G36</f>
        <v>14070706.35</v>
      </c>
      <c r="F34" s="30">
        <f>'table 2a'!F35+'table 6'!I36</f>
        <v>4408559.37</v>
      </c>
      <c r="G34" s="49">
        <f>table4!G35+table5!G35+'table 6'!K36</f>
        <v>0</v>
      </c>
      <c r="H34" s="76"/>
      <c r="I34" s="136">
        <f>IF(B34&lt;&gt;0,((+C34+D34)/B34*100),(IF(C34&lt;&gt;0,1,0)))</f>
        <v>68.6027166123851</v>
      </c>
      <c r="J34" s="136">
        <f aca="true" t="shared" si="7" ref="J34:L37">IF($B34&lt;&gt;0,(E34/$B34*100),(IF(E34&lt;&gt;0,1,0)))</f>
        <v>23.906899842709908</v>
      </c>
      <c r="K34" s="136">
        <f t="shared" si="7"/>
        <v>7.490383544904999</v>
      </c>
      <c r="L34" s="136">
        <f t="shared" si="7"/>
        <v>0</v>
      </c>
    </row>
    <row r="35" spans="1:12" ht="12.75">
      <c r="A35" s="23" t="s">
        <v>22</v>
      </c>
      <c r="B35" s="76">
        <f t="shared" si="6"/>
        <v>312305424.19</v>
      </c>
      <c r="C35" s="133">
        <f>'table 2a'!C36+table4!C36+table5!C36</f>
        <v>94634854.72</v>
      </c>
      <c r="D35" s="30">
        <f>'table 2a'!D36+table4!D36+table5!D36+'table 6'!C37+'table 6'!D37+'table 6'!F37+'table 6'!E37</f>
        <v>5055003.899999999</v>
      </c>
      <c r="E35" s="133">
        <f>'table 2a'!E36+table4!E36+table5!E36+'table 6'!G37</f>
        <v>168218200.89999998</v>
      </c>
      <c r="F35" s="30">
        <f>'table 2a'!F36+'table 6'!I37</f>
        <v>31478526.13</v>
      </c>
      <c r="G35" s="49">
        <f>table4!G36+table5!G36+'table 6'!K37</f>
        <v>12918838.54</v>
      </c>
      <c r="H35" s="76"/>
      <c r="I35" s="136">
        <f>IF(B35&lt;&gt;0,((+C35+D35)/B35*100),(IF(C35&lt;&gt;0,1,0)))</f>
        <v>31.920629902140547</v>
      </c>
      <c r="J35" s="136">
        <f t="shared" si="7"/>
        <v>53.86336191127427</v>
      </c>
      <c r="K35" s="136">
        <f t="shared" si="7"/>
        <v>10.079404227974322</v>
      </c>
      <c r="L35" s="136">
        <f t="shared" si="7"/>
        <v>4.136603958610867</v>
      </c>
    </row>
    <row r="36" spans="1:12" ht="12.75">
      <c r="A36" s="23" t="s">
        <v>23</v>
      </c>
      <c r="B36" s="76">
        <f t="shared" si="6"/>
        <v>211731600.09999996</v>
      </c>
      <c r="C36" s="133">
        <f>'table 2a'!C37+table4!C37+table5!C37</f>
        <v>54129826</v>
      </c>
      <c r="D36" s="30">
        <f>'table 2a'!D37+table4!D37+table5!D37+'table 6'!C38+'table 6'!D38+'table 6'!F38+'table 6'!E38</f>
        <v>2691141.77</v>
      </c>
      <c r="E36" s="133">
        <f>'table 2a'!E37+table4!E37+table5!E37+'table 6'!G38</f>
        <v>131192812.39999999</v>
      </c>
      <c r="F36" s="30">
        <f>'table 2a'!F37+'table 6'!I38</f>
        <v>21732758.54</v>
      </c>
      <c r="G36" s="49">
        <f>table4!G37+table5!G37+'table 6'!K38</f>
        <v>1985061.3900000001</v>
      </c>
      <c r="H36" s="76"/>
      <c r="I36" s="136">
        <f>IF(B36&lt;&gt;0,((+C36+D36)/B36*100),(IF(C36&lt;&gt;0,1,0)))</f>
        <v>26.83631906770822</v>
      </c>
      <c r="J36" s="136">
        <f t="shared" si="7"/>
        <v>61.96184808410183</v>
      </c>
      <c r="K36" s="136">
        <f t="shared" si="7"/>
        <v>10.264296179566823</v>
      </c>
      <c r="L36" s="136">
        <f t="shared" si="7"/>
        <v>0.9375366686231359</v>
      </c>
    </row>
    <row r="37" spans="1:12" ht="12.75">
      <c r="A37" s="31" t="s">
        <v>24</v>
      </c>
      <c r="B37" s="137">
        <f t="shared" si="6"/>
        <v>126256819.6</v>
      </c>
      <c r="C37" s="138">
        <f>'table 2a'!C38+table4!C38+table5!C38</f>
        <v>89050998.52</v>
      </c>
      <c r="D37" s="28">
        <f>'table 2a'!D38+table4!D38+table5!D38+'table 6'!C39+'table 6'!D39+'table 6'!F39+'table 6'!E39</f>
        <v>1650001.69</v>
      </c>
      <c r="E37" s="138">
        <f>'table 2a'!E38+table4!E38+table5!E38+'table 6'!G39</f>
        <v>24609093.919999998</v>
      </c>
      <c r="F37" s="28">
        <f>'table 2a'!F38+'table 6'!I39</f>
        <v>10946725.469999999</v>
      </c>
      <c r="G37" s="139">
        <f>table4!G38+table5!G38+'table 6'!K39</f>
        <v>0</v>
      </c>
      <c r="H37" s="137"/>
      <c r="I37" s="140">
        <f>IF(B37&lt;&gt;0,((+C37+D37)/B37*100),(IF(C37&lt;&gt;0,1,0)))</f>
        <v>71.8384959302428</v>
      </c>
      <c r="J37" s="140">
        <f t="shared" si="7"/>
        <v>19.491298765456943</v>
      </c>
      <c r="K37" s="140">
        <f t="shared" si="7"/>
        <v>8.670205304300252</v>
      </c>
      <c r="L37" s="140">
        <f t="shared" si="7"/>
        <v>0</v>
      </c>
    </row>
    <row r="38" spans="2:13" ht="12.75">
      <c r="B38" s="82"/>
      <c r="C38" s="159"/>
      <c r="D38" s="82"/>
      <c r="E38" s="82"/>
      <c r="F38" s="82"/>
      <c r="G38" s="82"/>
      <c r="H38" s="82"/>
      <c r="I38" s="160"/>
      <c r="J38" s="160"/>
      <c r="K38" s="160"/>
      <c r="L38" s="160"/>
      <c r="M38" s="82"/>
    </row>
    <row r="39" spans="1:13" ht="12.75">
      <c r="A39" s="158" t="s">
        <v>197</v>
      </c>
      <c r="B39" s="82"/>
      <c r="C39" s="82"/>
      <c r="D39" s="82"/>
      <c r="E39" s="82"/>
      <c r="F39" s="82"/>
      <c r="G39" s="82"/>
      <c r="H39" s="82"/>
      <c r="I39" s="160"/>
      <c r="J39" s="160"/>
      <c r="K39" s="160"/>
      <c r="L39" s="160"/>
      <c r="M39" s="82"/>
    </row>
    <row r="40" spans="1:13" ht="12.75">
      <c r="A40" s="161" t="s">
        <v>213</v>
      </c>
      <c r="B40" s="82"/>
      <c r="C40" s="82"/>
      <c r="D40" s="82"/>
      <c r="E40" s="82"/>
      <c r="F40" s="82"/>
      <c r="G40" s="82"/>
      <c r="H40" s="82"/>
      <c r="I40" s="160"/>
      <c r="J40" s="160"/>
      <c r="K40" s="160"/>
      <c r="L40" s="160"/>
      <c r="M40" s="82"/>
    </row>
    <row r="41" spans="1:12" ht="12.75">
      <c r="A41" s="121"/>
      <c r="I41" s="141"/>
      <c r="J41" s="141"/>
      <c r="K41" s="141"/>
      <c r="L41" s="141"/>
    </row>
    <row r="42" spans="9:12" ht="12.75">
      <c r="I42" s="93"/>
      <c r="J42" s="93"/>
      <c r="K42" s="93"/>
      <c r="L42" s="93"/>
    </row>
    <row r="43" spans="9:12" ht="12.75">
      <c r="I43" s="93"/>
      <c r="J43" s="93"/>
      <c r="K43" s="93"/>
      <c r="L43" s="93"/>
    </row>
  </sheetData>
  <sheetProtection password="CAF5" sheet="1" objects="1" scenarios="1"/>
  <mergeCells count="6">
    <mergeCell ref="C6:D6"/>
    <mergeCell ref="C5:F5"/>
    <mergeCell ref="I5:L5"/>
    <mergeCell ref="A1:L1"/>
    <mergeCell ref="A2:L2"/>
    <mergeCell ref="A3:L3"/>
  </mergeCells>
  <printOptions horizontalCentered="1"/>
  <pageMargins left="0.59" right="0.56" top="0.83" bottom="1" header="0.67" footer="0.5"/>
  <pageSetup fitToHeight="1" fitToWidth="1" horizontalDpi="600" verticalDpi="600" orientation="landscape" scale="89" r:id="rId1"/>
  <headerFooter alignWithMargins="0">
    <oddHeader>&amp;C
</oddHeader>
    <oddFooter>&amp;L&amp;"Arial,Italic"&amp;9MSDE - LFRO  11 / 2012&amp;C- 1 -&amp;R&amp;"Arial,Italic"&amp;9Selected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31">
      <selection activeCell="E12" sqref="E12"/>
    </sheetView>
  </sheetViews>
  <sheetFormatPr defaultColWidth="9.140625" defaultRowHeight="12.75"/>
  <cols>
    <col min="1" max="1" width="13.8515625" style="0" customWidth="1"/>
    <col min="2" max="2" width="14.421875" style="255" customWidth="1"/>
    <col min="3" max="3" width="15.00390625" style="255" bestFit="1" customWidth="1"/>
    <col min="4" max="4" width="14.8515625" style="255" customWidth="1"/>
    <col min="5" max="5" width="15.57421875" style="255" customWidth="1"/>
    <col min="6" max="6" width="17.421875" style="250" customWidth="1"/>
  </cols>
  <sheetData>
    <row r="1" spans="1:6" ht="12.75">
      <c r="A1" s="432" t="s">
        <v>117</v>
      </c>
      <c r="B1" s="432"/>
      <c r="C1" s="432"/>
      <c r="D1" s="432"/>
      <c r="E1" s="432"/>
      <c r="F1" s="432"/>
    </row>
    <row r="3" spans="1:6" ht="12.75">
      <c r="A3" s="464" t="s">
        <v>249</v>
      </c>
      <c r="B3" s="432"/>
      <c r="C3" s="432"/>
      <c r="D3" s="432"/>
      <c r="E3" s="432"/>
      <c r="F3" s="432"/>
    </row>
    <row r="4" spans="1:6" ht="13.5" thickBot="1">
      <c r="A4" s="82"/>
      <c r="B4" s="261"/>
      <c r="C4" s="261"/>
      <c r="D4" s="261"/>
      <c r="E4" s="261"/>
      <c r="F4" s="261"/>
    </row>
    <row r="5" spans="1:6" ht="15" customHeight="1" thickTop="1">
      <c r="A5" s="466" t="s">
        <v>47</v>
      </c>
      <c r="B5" s="466"/>
      <c r="C5" s="466"/>
      <c r="D5" s="466"/>
      <c r="E5" s="466"/>
      <c r="F5" s="479"/>
    </row>
    <row r="6" spans="1:7" ht="12.75">
      <c r="A6" s="477"/>
      <c r="B6" s="477"/>
      <c r="C6" s="477"/>
      <c r="D6" s="477"/>
      <c r="E6" s="477"/>
      <c r="F6" s="477"/>
      <c r="G6" s="3"/>
    </row>
    <row r="7" spans="1:6" ht="12.75" customHeight="1">
      <c r="A7" s="468" t="s">
        <v>157</v>
      </c>
      <c r="C7" s="478" t="s">
        <v>158</v>
      </c>
      <c r="F7" s="478" t="s">
        <v>150</v>
      </c>
    </row>
    <row r="8" spans="1:6" ht="12.75" customHeight="1">
      <c r="A8" s="468"/>
      <c r="B8" s="460" t="s">
        <v>233</v>
      </c>
      <c r="C8" s="454"/>
      <c r="D8" s="306"/>
      <c r="E8" s="483" t="s">
        <v>160</v>
      </c>
      <c r="F8" s="454"/>
    </row>
    <row r="9" spans="1:6" ht="12.75" customHeight="1">
      <c r="A9" s="468"/>
      <c r="B9" s="480"/>
      <c r="C9" s="454"/>
      <c r="D9" s="481" t="s">
        <v>159</v>
      </c>
      <c r="E9" s="480"/>
      <c r="F9" s="454"/>
    </row>
    <row r="10" spans="1:6" ht="13.5" thickBot="1">
      <c r="A10" s="470"/>
      <c r="B10" s="456"/>
      <c r="C10" s="455"/>
      <c r="D10" s="482"/>
      <c r="E10" s="456"/>
      <c r="F10" s="455"/>
    </row>
    <row r="11" spans="1:6" s="332" customFormat="1" ht="12.75">
      <c r="A11" s="315" t="s">
        <v>0</v>
      </c>
      <c r="B11" s="296">
        <f>SUM(B13:B40)</f>
        <v>151192876</v>
      </c>
      <c r="C11" s="296">
        <f>SUM(C13:C40)</f>
        <v>4621141.88</v>
      </c>
      <c r="D11" s="296">
        <f>SUM(D13:D40)</f>
        <v>346342.81</v>
      </c>
      <c r="E11" s="296">
        <f>SUM(E13:E40)</f>
        <v>8571483.760000002</v>
      </c>
      <c r="F11" s="296">
        <f>SUM(F13:F40)</f>
        <v>17761535.15</v>
      </c>
    </row>
    <row r="12" spans="1:6" ht="12.75">
      <c r="A12" s="3"/>
      <c r="B12" s="238"/>
      <c r="C12" s="237"/>
      <c r="D12" s="237"/>
      <c r="E12" s="237"/>
      <c r="F12" s="255"/>
    </row>
    <row r="13" spans="1:6" ht="12.75">
      <c r="A13" t="s">
        <v>1</v>
      </c>
      <c r="B13" s="153">
        <v>160486</v>
      </c>
      <c r="C13" s="49">
        <v>25000</v>
      </c>
      <c r="D13" s="49">
        <v>50116.939999999995</v>
      </c>
      <c r="E13" s="153">
        <v>279283.98000000004</v>
      </c>
      <c r="F13" s="5">
        <v>456336.56</v>
      </c>
    </row>
    <row r="14" spans="1:6" ht="12.75">
      <c r="A14" t="s">
        <v>2</v>
      </c>
      <c r="B14" s="153">
        <v>6614820</v>
      </c>
      <c r="C14" s="49">
        <v>352000</v>
      </c>
      <c r="D14" s="49">
        <v>15853.55</v>
      </c>
      <c r="E14" s="153">
        <v>164838.78</v>
      </c>
      <c r="F14" s="5">
        <v>433065.17</v>
      </c>
    </row>
    <row r="15" spans="1:6" ht="12.75">
      <c r="A15" t="s">
        <v>3</v>
      </c>
      <c r="B15" s="153">
        <v>11007334</v>
      </c>
      <c r="C15" s="49">
        <v>1300500</v>
      </c>
      <c r="D15" s="154">
        <v>61204.36</v>
      </c>
      <c r="E15" s="153">
        <v>951903.02</v>
      </c>
      <c r="F15" s="5">
        <v>174252.02</v>
      </c>
    </row>
    <row r="16" spans="1:6" ht="12.75">
      <c r="A16" t="s">
        <v>4</v>
      </c>
      <c r="B16" s="153">
        <v>11201161</v>
      </c>
      <c r="C16" s="375">
        <v>514500</v>
      </c>
      <c r="D16" s="49">
        <v>7350</v>
      </c>
      <c r="E16" s="153">
        <v>371399.53</v>
      </c>
      <c r="F16" s="5">
        <v>5315708.66</v>
      </c>
    </row>
    <row r="17" spans="1:6" ht="12.75">
      <c r="A17" t="s">
        <v>5</v>
      </c>
      <c r="B17" s="153">
        <v>668172</v>
      </c>
      <c r="C17" s="383">
        <v>0</v>
      </c>
      <c r="D17" s="49">
        <v>2848.92</v>
      </c>
      <c r="E17" s="153">
        <v>320170.42</v>
      </c>
      <c r="F17" s="5">
        <v>354594.42</v>
      </c>
    </row>
    <row r="18" spans="2:6" ht="12.75">
      <c r="B18" s="153"/>
      <c r="C18" s="154"/>
      <c r="D18" s="154"/>
      <c r="E18" s="153"/>
      <c r="F18" s="345"/>
    </row>
    <row r="19" spans="1:6" ht="12.75">
      <c r="A19" t="s">
        <v>6</v>
      </c>
      <c r="B19" s="153">
        <v>933020</v>
      </c>
      <c r="C19" s="375">
        <v>17000</v>
      </c>
      <c r="D19" s="49">
        <v>3645.67</v>
      </c>
      <c r="E19" s="153">
        <v>327227.19</v>
      </c>
      <c r="F19" s="5">
        <v>13238</v>
      </c>
    </row>
    <row r="20" spans="1:6" ht="12.75">
      <c r="A20" t="s">
        <v>7</v>
      </c>
      <c r="B20" s="153">
        <v>645200</v>
      </c>
      <c r="C20" s="49">
        <v>117000</v>
      </c>
      <c r="D20" s="49">
        <v>9479.5</v>
      </c>
      <c r="E20" s="153">
        <v>406412.96</v>
      </c>
      <c r="F20" s="5">
        <v>284534.52</v>
      </c>
    </row>
    <row r="21" spans="1:6" ht="12.75">
      <c r="A21" t="s">
        <v>8</v>
      </c>
      <c r="B21" s="153">
        <v>563180</v>
      </c>
      <c r="C21" s="49">
        <v>78500</v>
      </c>
      <c r="D21" s="49">
        <v>10252.74</v>
      </c>
      <c r="E21" s="153">
        <v>450665.13</v>
      </c>
      <c r="F21" s="5">
        <v>197708.74</v>
      </c>
    </row>
    <row r="22" spans="1:6" ht="12.75">
      <c r="A22" t="s">
        <v>9</v>
      </c>
      <c r="B22" s="153">
        <v>731474</v>
      </c>
      <c r="C22" s="375">
        <v>16000</v>
      </c>
      <c r="D22" s="49">
        <v>0</v>
      </c>
      <c r="E22" s="153">
        <v>607483.63</v>
      </c>
      <c r="F22" s="5">
        <v>1102300.92</v>
      </c>
    </row>
    <row r="23" spans="1:6" ht="12.75">
      <c r="A23" t="s">
        <v>10</v>
      </c>
      <c r="B23" s="153">
        <v>334784</v>
      </c>
      <c r="C23" s="154">
        <v>0</v>
      </c>
      <c r="D23" s="49">
        <v>275.01</v>
      </c>
      <c r="E23" s="153">
        <v>323937.02</v>
      </c>
      <c r="F23" s="5">
        <v>798968.17</v>
      </c>
    </row>
    <row r="24" spans="2:6" ht="12.75">
      <c r="B24" s="153"/>
      <c r="C24" s="154"/>
      <c r="D24" s="154"/>
      <c r="E24" s="153"/>
      <c r="F24" s="345"/>
    </row>
    <row r="25" spans="1:6" ht="12.75">
      <c r="A25" t="s">
        <v>11</v>
      </c>
      <c r="B25" s="153">
        <v>5019597</v>
      </c>
      <c r="C25" s="49">
        <v>33000</v>
      </c>
      <c r="D25" s="49">
        <v>18496.879999999997</v>
      </c>
      <c r="E25" s="153">
        <v>320725.07</v>
      </c>
      <c r="F25" s="5">
        <f>1110969.03-75461.76</f>
        <v>1035507.27</v>
      </c>
    </row>
    <row r="26" spans="1:6" ht="12.75">
      <c r="A26" t="s">
        <v>12</v>
      </c>
      <c r="B26" s="153">
        <v>9674</v>
      </c>
      <c r="C26" s="383">
        <v>8000</v>
      </c>
      <c r="D26" s="49">
        <v>844.72</v>
      </c>
      <c r="E26" s="153">
        <v>349105.79</v>
      </c>
      <c r="F26" s="5">
        <v>802453.48</v>
      </c>
    </row>
    <row r="27" spans="1:6" ht="12.75">
      <c r="A27" t="s">
        <v>13</v>
      </c>
      <c r="B27" s="153">
        <v>1787911</v>
      </c>
      <c r="C27" s="154">
        <v>39000</v>
      </c>
      <c r="D27" s="154">
        <v>1327.31</v>
      </c>
      <c r="E27" s="153">
        <v>23077.23</v>
      </c>
      <c r="F27" s="5">
        <v>2116882.67</v>
      </c>
    </row>
    <row r="28" spans="1:6" ht="12.75">
      <c r="A28" t="s">
        <v>14</v>
      </c>
      <c r="B28" s="153">
        <v>6424890</v>
      </c>
      <c r="C28" s="366">
        <v>74000</v>
      </c>
      <c r="D28" s="49">
        <v>12751.81</v>
      </c>
      <c r="E28" s="153">
        <v>288340.55</v>
      </c>
      <c r="F28" s="5">
        <v>603267.26</v>
      </c>
    </row>
    <row r="29" spans="1:6" ht="12.75">
      <c r="A29" t="s">
        <v>15</v>
      </c>
      <c r="B29" s="153">
        <v>156421</v>
      </c>
      <c r="C29" s="49">
        <v>1000</v>
      </c>
      <c r="D29" s="49">
        <v>35601.340000000004</v>
      </c>
      <c r="E29" s="153">
        <v>277221.24</v>
      </c>
      <c r="F29" s="5">
        <v>799898.3799999999</v>
      </c>
    </row>
    <row r="30" spans="2:6" ht="12.75">
      <c r="B30" s="153"/>
      <c r="C30" s="154"/>
      <c r="D30" s="154"/>
      <c r="E30" s="153"/>
      <c r="F30" s="345"/>
    </row>
    <row r="31" spans="1:6" ht="12.75">
      <c r="A31" t="s">
        <v>16</v>
      </c>
      <c r="B31" s="153">
        <v>43826987</v>
      </c>
      <c r="C31" s="49">
        <v>586058</v>
      </c>
      <c r="D31" s="49">
        <v>3123.84</v>
      </c>
      <c r="E31" s="153">
        <v>568222.1699999999</v>
      </c>
      <c r="F31" s="5">
        <v>679207.25</v>
      </c>
    </row>
    <row r="32" spans="1:6" ht="12.75">
      <c r="A32" t="s">
        <v>17</v>
      </c>
      <c r="B32" s="153">
        <v>55203270</v>
      </c>
      <c r="C32" s="375">
        <v>1386500</v>
      </c>
      <c r="D32" s="49">
        <v>14066.08</v>
      </c>
      <c r="E32" s="153">
        <v>520275.87</v>
      </c>
      <c r="F32" s="5">
        <v>721291.72</v>
      </c>
    </row>
    <row r="33" spans="1:6" ht="12.75">
      <c r="A33" t="s">
        <v>18</v>
      </c>
      <c r="B33" s="153">
        <v>359649</v>
      </c>
      <c r="C33" s="154">
        <v>0</v>
      </c>
      <c r="D33" s="49">
        <v>11417.21</v>
      </c>
      <c r="E33" s="153">
        <v>338946.91</v>
      </c>
      <c r="F33" s="5">
        <v>492058.89</v>
      </c>
    </row>
    <row r="34" spans="1:6" ht="12.75">
      <c r="A34" t="s">
        <v>19</v>
      </c>
      <c r="B34" s="153">
        <v>562033</v>
      </c>
      <c r="C34" s="154">
        <v>0</v>
      </c>
      <c r="D34" s="49">
        <v>15792.69</v>
      </c>
      <c r="E34" s="153">
        <v>268303.44999999995</v>
      </c>
      <c r="F34" s="5">
        <v>154830.93</v>
      </c>
    </row>
    <row r="35" spans="1:6" ht="12.75">
      <c r="A35" t="s">
        <v>20</v>
      </c>
      <c r="B35" s="153">
        <v>417487</v>
      </c>
      <c r="C35" s="154">
        <v>0</v>
      </c>
      <c r="D35" s="49">
        <v>0</v>
      </c>
      <c r="E35" s="153">
        <v>8183.59</v>
      </c>
      <c r="F35" s="5">
        <v>91614.87</v>
      </c>
    </row>
    <row r="36" spans="2:6" ht="12.75">
      <c r="B36" s="153"/>
      <c r="C36" s="154"/>
      <c r="D36" s="154"/>
      <c r="E36" s="153"/>
      <c r="F36" s="345"/>
    </row>
    <row r="37" spans="1:6" ht="12.75">
      <c r="A37" t="s">
        <v>21</v>
      </c>
      <c r="B37" s="153">
        <v>429494</v>
      </c>
      <c r="C37" s="375">
        <v>4000</v>
      </c>
      <c r="D37" s="49">
        <v>7824.82</v>
      </c>
      <c r="E37" s="153">
        <v>353872.25</v>
      </c>
      <c r="F37" s="5">
        <v>47733.69</v>
      </c>
    </row>
    <row r="38" spans="1:6" ht="12.75">
      <c r="A38" t="s">
        <v>22</v>
      </c>
      <c r="B38" s="153">
        <v>1776414</v>
      </c>
      <c r="C38" s="49">
        <v>0</v>
      </c>
      <c r="D38" s="49">
        <v>53135.130000000005</v>
      </c>
      <c r="E38" s="153">
        <v>275176.87</v>
      </c>
      <c r="F38" s="5">
        <v>779766.45</v>
      </c>
    </row>
    <row r="39" spans="1:6" ht="12.75">
      <c r="A39" t="s">
        <v>23</v>
      </c>
      <c r="B39" s="153">
        <v>1985599</v>
      </c>
      <c r="C39" s="49">
        <v>45000</v>
      </c>
      <c r="D39" s="49">
        <v>1618.03</v>
      </c>
      <c r="E39" s="153">
        <v>344284.88</v>
      </c>
      <c r="F39" s="5">
        <v>233504.43</v>
      </c>
    </row>
    <row r="40" spans="1:6" ht="12.75">
      <c r="A40" s="12" t="s">
        <v>24</v>
      </c>
      <c r="B40" s="155">
        <v>373819</v>
      </c>
      <c r="C40" s="139">
        <v>24083.88</v>
      </c>
      <c r="D40" s="139">
        <v>9316.26</v>
      </c>
      <c r="E40" s="155">
        <v>432426.23</v>
      </c>
      <c r="F40" s="14">
        <v>72810.68</v>
      </c>
    </row>
  </sheetData>
  <sheetProtection password="CAF5" sheet="1" objects="1" scenarios="1"/>
  <mergeCells count="10">
    <mergeCell ref="A1:F1"/>
    <mergeCell ref="A7:A10"/>
    <mergeCell ref="C7:C10"/>
    <mergeCell ref="F7:F10"/>
    <mergeCell ref="A5:F5"/>
    <mergeCell ref="A6:F6"/>
    <mergeCell ref="A3:F3"/>
    <mergeCell ref="B8:B10"/>
    <mergeCell ref="D9:D10"/>
    <mergeCell ref="E8:E10"/>
  </mergeCells>
  <printOptions horizontalCentered="1"/>
  <pageMargins left="0.27" right="0.25" top="0.83" bottom="1" header="0.67" footer="0.5"/>
  <pageSetup fitToHeight="1" fitToWidth="1" horizontalDpi="600" verticalDpi="600" orientation="landscape" scale="96" r:id="rId1"/>
  <headerFooter alignWithMargins="0">
    <oddHeader>&amp;R&amp;18
&amp;"Arial,Bold"
</oddHeader>
    <oddFooter>&amp;L&amp;"Arial,Italic"&amp;9MSDE - LFRO  11 / 2012&amp;C- 10 -&amp;R&amp;"Arial,Italic"&amp;9Selected Financial Data-Part 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5.421875" style="0" customWidth="1"/>
    <col min="4" max="4" width="18.28125" style="0" customWidth="1"/>
    <col min="5" max="5" width="5.140625" style="0" customWidth="1"/>
    <col min="6" max="6" width="18.00390625" style="0" customWidth="1"/>
    <col min="7" max="7" width="8.421875" style="0" customWidth="1"/>
    <col min="8" max="8" width="11.28125" style="0" customWidth="1"/>
    <col min="9" max="9" width="8.00390625" style="0" customWidth="1"/>
    <col min="10" max="10" width="11.28125" style="0" bestFit="1" customWidth="1"/>
  </cols>
  <sheetData>
    <row r="1" spans="1:10" ht="12.75">
      <c r="A1" s="432" t="s">
        <v>117</v>
      </c>
      <c r="B1" s="432"/>
      <c r="C1" s="432"/>
      <c r="D1" s="432"/>
      <c r="E1" s="432"/>
      <c r="F1" s="432"/>
      <c r="G1" s="432"/>
      <c r="H1" s="432"/>
      <c r="I1" s="432"/>
      <c r="J1" s="432"/>
    </row>
    <row r="3" spans="1:10" ht="12.75">
      <c r="A3" s="464" t="s">
        <v>250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3" t="s">
        <v>110</v>
      </c>
      <c r="C5" s="43"/>
      <c r="D5" s="484"/>
      <c r="E5" s="484"/>
      <c r="F5" s="484"/>
      <c r="G5" s="484"/>
      <c r="H5" s="484"/>
      <c r="I5" s="4"/>
      <c r="K5" s="3"/>
      <c r="L5" s="3"/>
      <c r="M5" s="3"/>
      <c r="N5" s="3"/>
      <c r="O5" s="3"/>
    </row>
    <row r="6" spans="1:15" ht="12.75">
      <c r="A6" s="3" t="s">
        <v>77</v>
      </c>
      <c r="B6" s="484" t="s">
        <v>37</v>
      </c>
      <c r="C6" s="484"/>
      <c r="D6" s="484"/>
      <c r="E6" s="484"/>
      <c r="F6" s="4" t="s">
        <v>34</v>
      </c>
      <c r="G6" s="4"/>
      <c r="H6" s="4"/>
      <c r="I6" s="4"/>
      <c r="J6" s="4" t="s">
        <v>41</v>
      </c>
      <c r="K6" s="3"/>
      <c r="L6" s="3"/>
      <c r="M6" s="3"/>
      <c r="N6" s="3"/>
      <c r="O6" s="3"/>
    </row>
    <row r="7" spans="1:15" ht="12.75">
      <c r="A7" s="3" t="s">
        <v>33</v>
      </c>
      <c r="B7" s="484" t="s">
        <v>38</v>
      </c>
      <c r="C7" s="484"/>
      <c r="D7" s="484"/>
      <c r="E7" s="484"/>
      <c r="F7" s="4" t="s">
        <v>75</v>
      </c>
      <c r="G7" s="4"/>
      <c r="H7" s="4"/>
      <c r="I7" s="4"/>
      <c r="J7" s="4" t="s">
        <v>38</v>
      </c>
      <c r="K7" s="3"/>
      <c r="L7" s="3"/>
      <c r="M7" s="3"/>
      <c r="N7" s="3"/>
      <c r="O7" s="3"/>
    </row>
    <row r="8" spans="1:10" ht="13.5" thickBot="1">
      <c r="A8" s="7" t="s">
        <v>132</v>
      </c>
      <c r="B8" s="485" t="s">
        <v>48</v>
      </c>
      <c r="C8" s="485"/>
      <c r="D8" s="485"/>
      <c r="E8" s="485"/>
      <c r="F8" s="8" t="s">
        <v>48</v>
      </c>
      <c r="G8" s="8"/>
      <c r="H8" s="8"/>
      <c r="I8" s="8"/>
      <c r="J8" s="8" t="s">
        <v>48</v>
      </c>
    </row>
    <row r="9" spans="1:10" ht="12.75">
      <c r="A9" s="3" t="s">
        <v>0</v>
      </c>
      <c r="B9" s="277">
        <f>SUM(B11:B38)</f>
        <v>6662565.769999999</v>
      </c>
      <c r="C9" s="236"/>
      <c r="D9" s="239"/>
      <c r="E9" s="236"/>
      <c r="F9" s="277">
        <f>SUM(F11:F38)</f>
        <v>215340116.65</v>
      </c>
      <c r="G9" s="205"/>
      <c r="H9" s="205"/>
      <c r="I9" s="205"/>
      <c r="J9" s="205">
        <f>SUM(J11:J38)</f>
        <v>0</v>
      </c>
    </row>
    <row r="10" spans="1:10" ht="12.75">
      <c r="A10" s="3"/>
      <c r="B10" s="235"/>
      <c r="C10" s="235"/>
      <c r="D10" s="235"/>
      <c r="E10" s="235"/>
      <c r="F10" s="235"/>
      <c r="G10" s="153"/>
      <c r="H10" s="153"/>
      <c r="I10" s="153"/>
      <c r="J10" s="153"/>
    </row>
    <row r="11" spans="1:10" ht="12.75">
      <c r="A11" t="s">
        <v>1</v>
      </c>
      <c r="B11" s="237">
        <v>213879.91</v>
      </c>
      <c r="C11" s="250"/>
      <c r="D11" s="237"/>
      <c r="E11" s="237"/>
      <c r="F11" s="237">
        <v>107206.97</v>
      </c>
      <c r="G11" s="153"/>
      <c r="H11" s="153"/>
      <c r="I11" s="153"/>
      <c r="J11" s="153">
        <v>0</v>
      </c>
    </row>
    <row r="12" spans="1:10" ht="12.75">
      <c r="A12" t="s">
        <v>2</v>
      </c>
      <c r="B12" s="237">
        <v>454450</v>
      </c>
      <c r="C12" s="237"/>
      <c r="D12" s="339"/>
      <c r="E12" s="237"/>
      <c r="F12" s="237">
        <v>18876476</v>
      </c>
      <c r="G12" s="153"/>
      <c r="H12" s="153"/>
      <c r="I12" s="153"/>
      <c r="J12" s="153">
        <v>0</v>
      </c>
    </row>
    <row r="13" spans="1:10" ht="12.75">
      <c r="A13" t="s">
        <v>3</v>
      </c>
      <c r="B13" s="237">
        <v>826463.88</v>
      </c>
      <c r="C13" s="237"/>
      <c r="D13" s="339"/>
      <c r="E13" s="237"/>
      <c r="F13" s="237">
        <v>18519784.65</v>
      </c>
      <c r="G13" s="153"/>
      <c r="H13" s="153"/>
      <c r="I13" s="153"/>
      <c r="J13" s="153">
        <v>0</v>
      </c>
    </row>
    <row r="14" spans="1:10" ht="12.75">
      <c r="A14" t="s">
        <v>4</v>
      </c>
      <c r="B14" s="237">
        <v>782628</v>
      </c>
      <c r="C14" s="237"/>
      <c r="D14" s="339"/>
      <c r="E14" s="237"/>
      <c r="F14" s="237">
        <v>22583392</v>
      </c>
      <c r="G14" s="153"/>
      <c r="H14" s="153"/>
      <c r="I14" s="153"/>
      <c r="J14" s="153">
        <v>0</v>
      </c>
    </row>
    <row r="15" spans="1:10" ht="12.75">
      <c r="A15" t="s">
        <v>5</v>
      </c>
      <c r="B15" s="237">
        <v>34936.31</v>
      </c>
      <c r="C15" s="237"/>
      <c r="D15" s="339"/>
      <c r="E15" s="237"/>
      <c r="F15" s="237">
        <v>10784627</v>
      </c>
      <c r="G15" s="153"/>
      <c r="H15" s="153"/>
      <c r="I15" s="153"/>
      <c r="J15" s="153">
        <v>0</v>
      </c>
    </row>
    <row r="16" spans="2:10" ht="12.75">
      <c r="B16" s="237"/>
      <c r="C16" s="237"/>
      <c r="D16" s="237"/>
      <c r="E16" s="237"/>
      <c r="F16" s="237"/>
      <c r="G16" s="153"/>
      <c r="H16" s="153"/>
      <c r="I16" s="153"/>
      <c r="J16" s="153"/>
    </row>
    <row r="17" spans="1:10" ht="12.75">
      <c r="A17" t="s">
        <v>6</v>
      </c>
      <c r="B17" s="237">
        <v>75022.37</v>
      </c>
      <c r="C17" s="237"/>
      <c r="D17" s="339"/>
      <c r="E17" s="237"/>
      <c r="F17" s="237">
        <v>3870710.32</v>
      </c>
      <c r="G17" s="153"/>
      <c r="H17" s="153"/>
      <c r="I17" s="153"/>
      <c r="J17" s="153">
        <v>0</v>
      </c>
    </row>
    <row r="18" spans="1:10" ht="12.75">
      <c r="A18" t="s">
        <v>7</v>
      </c>
      <c r="B18" s="237">
        <v>58834.3</v>
      </c>
      <c r="C18" s="237"/>
      <c r="D18" s="339"/>
      <c r="E18" s="237"/>
      <c r="F18" s="237">
        <v>8105357.31</v>
      </c>
      <c r="G18" s="153"/>
      <c r="H18" s="153"/>
      <c r="I18" s="153"/>
      <c r="J18" s="153">
        <v>0</v>
      </c>
    </row>
    <row r="19" spans="1:10" ht="12.75">
      <c r="A19" t="s">
        <v>8</v>
      </c>
      <c r="B19" s="237">
        <v>263863.28</v>
      </c>
      <c r="C19" s="237"/>
      <c r="D19" s="339"/>
      <c r="E19" s="237"/>
      <c r="F19" s="237">
        <v>245688</v>
      </c>
      <c r="G19" s="153"/>
      <c r="H19" s="153"/>
      <c r="I19" s="153"/>
      <c r="J19" s="153">
        <v>0</v>
      </c>
    </row>
    <row r="20" spans="1:10" ht="12.75">
      <c r="A20" t="s">
        <v>9</v>
      </c>
      <c r="B20" s="237">
        <v>225411.03</v>
      </c>
      <c r="C20" s="237"/>
      <c r="D20" s="339"/>
      <c r="E20" s="237"/>
      <c r="F20" s="237">
        <v>7467538.31</v>
      </c>
      <c r="G20" s="153"/>
      <c r="H20" s="153"/>
      <c r="I20" s="153"/>
      <c r="J20" s="153">
        <v>0</v>
      </c>
    </row>
    <row r="21" spans="1:10" ht="12.75">
      <c r="A21" t="s">
        <v>10</v>
      </c>
      <c r="B21" s="237">
        <v>96842</v>
      </c>
      <c r="C21" s="237"/>
      <c r="D21" s="339"/>
      <c r="E21" s="237"/>
      <c r="F21" s="237">
        <v>5690833</v>
      </c>
      <c r="G21" s="153"/>
      <c r="H21" s="153"/>
      <c r="I21" s="153"/>
      <c r="J21" s="153">
        <v>0</v>
      </c>
    </row>
    <row r="22" spans="2:10" ht="12.75">
      <c r="B22" s="237"/>
      <c r="C22" s="237"/>
      <c r="D22" s="237"/>
      <c r="E22" s="237"/>
      <c r="F22" s="237"/>
      <c r="G22" s="153"/>
      <c r="H22" s="153"/>
      <c r="I22" s="153"/>
      <c r="J22" s="153"/>
    </row>
    <row r="23" spans="1:10" ht="12.75">
      <c r="A23" t="s">
        <v>11</v>
      </c>
      <c r="B23" s="237">
        <v>282212.97</v>
      </c>
      <c r="C23" s="237"/>
      <c r="D23" s="339"/>
      <c r="E23" s="237"/>
      <c r="F23" s="237">
        <v>13470765</v>
      </c>
      <c r="G23" s="153"/>
      <c r="H23" s="153"/>
      <c r="I23" s="153"/>
      <c r="J23" s="153">
        <v>0</v>
      </c>
    </row>
    <row r="24" spans="1:10" ht="12.75">
      <c r="A24" t="s">
        <v>12</v>
      </c>
      <c r="B24" s="237">
        <v>96041</v>
      </c>
      <c r="C24" s="237"/>
      <c r="D24" s="339"/>
      <c r="E24" s="237"/>
      <c r="F24" s="237">
        <v>0</v>
      </c>
      <c r="G24" s="153"/>
      <c r="H24" s="153"/>
      <c r="I24" s="153"/>
      <c r="J24" s="153">
        <v>0</v>
      </c>
    </row>
    <row r="25" spans="1:10" ht="12.75">
      <c r="A25" t="s">
        <v>13</v>
      </c>
      <c r="B25" s="237">
        <v>294283</v>
      </c>
      <c r="C25" s="237"/>
      <c r="D25" s="339"/>
      <c r="E25" s="237"/>
      <c r="F25" s="237">
        <v>14750023</v>
      </c>
      <c r="G25" s="153"/>
      <c r="H25" s="153"/>
      <c r="I25" s="153"/>
      <c r="J25" s="153">
        <v>0</v>
      </c>
    </row>
    <row r="26" spans="1:10" ht="12.75">
      <c r="A26" t="s">
        <v>14</v>
      </c>
      <c r="B26" s="237">
        <v>102622</v>
      </c>
      <c r="C26" s="237"/>
      <c r="D26" s="339"/>
      <c r="E26" s="237"/>
      <c r="F26" s="237">
        <v>6690016</v>
      </c>
      <c r="G26" s="153"/>
      <c r="H26" s="153"/>
      <c r="I26" s="153"/>
      <c r="J26" s="153">
        <v>0</v>
      </c>
    </row>
    <row r="27" spans="1:10" ht="12.75">
      <c r="A27" t="s">
        <v>15</v>
      </c>
      <c r="B27" s="237">
        <v>117192.90000000001</v>
      </c>
      <c r="C27" s="237"/>
      <c r="D27" s="339"/>
      <c r="E27" s="237"/>
      <c r="F27" s="237">
        <v>0</v>
      </c>
      <c r="G27" s="153"/>
      <c r="H27" s="153"/>
      <c r="I27" s="153"/>
      <c r="J27" s="153">
        <v>0</v>
      </c>
    </row>
    <row r="28" spans="2:10" ht="12.75">
      <c r="B28" s="237"/>
      <c r="C28" s="237"/>
      <c r="D28" s="237"/>
      <c r="E28" s="237"/>
      <c r="F28" s="237"/>
      <c r="G28" s="153"/>
      <c r="H28" s="153"/>
      <c r="I28" s="153"/>
      <c r="J28" s="153"/>
    </row>
    <row r="29" spans="1:10" ht="12.75">
      <c r="A29" t="s">
        <v>16</v>
      </c>
      <c r="B29" s="237">
        <v>971937</v>
      </c>
      <c r="C29" s="237"/>
      <c r="D29" s="339"/>
      <c r="E29" s="237"/>
      <c r="F29" s="237">
        <v>29400957</v>
      </c>
      <c r="G29" s="153"/>
      <c r="H29" s="153"/>
      <c r="I29" s="153"/>
      <c r="J29" s="153">
        <v>0</v>
      </c>
    </row>
    <row r="30" spans="1:10" ht="12.75">
      <c r="A30" t="s">
        <v>17</v>
      </c>
      <c r="B30" s="237">
        <v>607273</v>
      </c>
      <c r="C30" s="237"/>
      <c r="D30" s="339"/>
      <c r="E30" s="237"/>
      <c r="F30" s="237">
        <v>14088795</v>
      </c>
      <c r="G30" s="153"/>
      <c r="H30" s="153"/>
      <c r="I30" s="153"/>
      <c r="J30" s="153">
        <v>0</v>
      </c>
    </row>
    <row r="31" spans="1:10" ht="12.75">
      <c r="A31" t="s">
        <v>18</v>
      </c>
      <c r="B31" s="237">
        <v>54849.6</v>
      </c>
      <c r="C31" s="237"/>
      <c r="D31" s="339"/>
      <c r="E31" s="237"/>
      <c r="F31" s="237">
        <v>7616553</v>
      </c>
      <c r="G31" s="312"/>
      <c r="H31" s="153"/>
      <c r="I31" s="153"/>
      <c r="J31" s="153">
        <v>0</v>
      </c>
    </row>
    <row r="32" spans="1:10" ht="12.75">
      <c r="A32" t="s">
        <v>19</v>
      </c>
      <c r="B32" s="237">
        <v>209932.04</v>
      </c>
      <c r="C32" s="237"/>
      <c r="D32" s="339"/>
      <c r="E32" s="237"/>
      <c r="F32" s="237">
        <v>5912500.77</v>
      </c>
      <c r="G32" s="153"/>
      <c r="H32" s="153"/>
      <c r="I32" s="153"/>
      <c r="J32" s="153">
        <v>0</v>
      </c>
    </row>
    <row r="33" spans="1:10" ht="12.75">
      <c r="A33" t="s">
        <v>20</v>
      </c>
      <c r="B33" s="237">
        <v>83747.61</v>
      </c>
      <c r="C33" s="237"/>
      <c r="D33" s="339"/>
      <c r="E33" s="237"/>
      <c r="F33" s="237">
        <v>6085483</v>
      </c>
      <c r="G33" s="153"/>
      <c r="H33" s="153"/>
      <c r="I33" s="153"/>
      <c r="J33" s="153">
        <v>0</v>
      </c>
    </row>
    <row r="34" spans="2:10" ht="12.75">
      <c r="B34" s="237"/>
      <c r="C34" s="237"/>
      <c r="D34" s="237"/>
      <c r="E34" s="237"/>
      <c r="F34" s="237"/>
      <c r="G34" s="153"/>
      <c r="H34" s="153"/>
      <c r="I34" s="153"/>
      <c r="J34" s="153"/>
    </row>
    <row r="35" spans="1:10" ht="12.75">
      <c r="A35" t="s">
        <v>21</v>
      </c>
      <c r="B35" s="237">
        <v>84124.77</v>
      </c>
      <c r="C35" s="237"/>
      <c r="D35" s="339"/>
      <c r="E35" s="237"/>
      <c r="F35" s="237">
        <v>38292</v>
      </c>
      <c r="G35" s="153"/>
      <c r="H35" s="153"/>
      <c r="I35" s="153"/>
      <c r="J35" s="153">
        <v>0</v>
      </c>
    </row>
    <row r="36" spans="1:10" ht="12.75">
      <c r="A36" t="s">
        <v>22</v>
      </c>
      <c r="B36" s="237">
        <v>390440.2</v>
      </c>
      <c r="C36" s="237"/>
      <c r="D36" s="339"/>
      <c r="E36" s="237"/>
      <c r="F36" s="237">
        <v>13436702.61</v>
      </c>
      <c r="G36" s="153"/>
      <c r="H36" s="153"/>
      <c r="I36" s="153"/>
      <c r="J36" s="153">
        <v>0</v>
      </c>
    </row>
    <row r="37" spans="1:10" ht="12.75">
      <c r="A37" t="s">
        <v>23</v>
      </c>
      <c r="B37" s="237">
        <v>189650.63</v>
      </c>
      <c r="C37" s="250"/>
      <c r="D37" s="340"/>
      <c r="E37" s="237"/>
      <c r="F37" s="237">
        <v>7550423.21</v>
      </c>
      <c r="G37" s="153"/>
      <c r="H37" s="153"/>
      <c r="I37" s="153"/>
      <c r="J37" s="153">
        <v>0</v>
      </c>
    </row>
    <row r="38" spans="1:10" ht="12.75">
      <c r="A38" s="12" t="s">
        <v>24</v>
      </c>
      <c r="B38" s="224">
        <v>145927.97</v>
      </c>
      <c r="C38" s="341"/>
      <c r="D38" s="341"/>
      <c r="E38" s="224"/>
      <c r="F38" s="224">
        <v>47992.5</v>
      </c>
      <c r="G38" s="155"/>
      <c r="H38" s="155"/>
      <c r="I38" s="155"/>
      <c r="J38" s="155">
        <v>0</v>
      </c>
    </row>
    <row r="39" spans="6:7" ht="12.75">
      <c r="F39" s="5"/>
      <c r="G39" s="5"/>
    </row>
    <row r="40" spans="6:7" ht="12.75">
      <c r="F40" s="5"/>
      <c r="G40" s="5"/>
    </row>
    <row r="41" spans="6:7" ht="12.75">
      <c r="F41" s="5"/>
      <c r="G41" s="5"/>
    </row>
  </sheetData>
  <sheetProtection password="CAF5" sheet="1" objects="1" scenarios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rintOptions horizontalCentered="1"/>
  <pageMargins left="0.56" right="0.55" top="0.83" bottom="1" header="0.67" footer="0.5"/>
  <pageSetup fitToHeight="1" fitToWidth="1" horizontalDpi="600" verticalDpi="600" orientation="landscape" r:id="rId1"/>
  <headerFooter alignWithMargins="0">
    <oddFooter>&amp;L&amp;"Arial,Italic"&amp;9MSDE - LFRO  11 / 2012&amp;C- 11 -&amp;R&amp;"Arial,Italic"&amp;9Selected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zoomScalePageLayoutView="0" workbookViewId="0" topLeftCell="E2">
      <selection activeCell="F39" sqref="F39"/>
    </sheetView>
  </sheetViews>
  <sheetFormatPr defaultColWidth="9.140625" defaultRowHeight="12.75"/>
  <cols>
    <col min="1" max="1" width="17.00390625" style="3" customWidth="1"/>
    <col min="2" max="2" width="16.00390625" style="226" bestFit="1" customWidth="1"/>
    <col min="3" max="3" width="14.7109375" style="226" customWidth="1"/>
    <col min="4" max="4" width="13.8515625" style="226" bestFit="1" customWidth="1"/>
    <col min="5" max="6" width="14.7109375" style="229" customWidth="1"/>
    <col min="7" max="7" width="12.8515625" style="226" bestFit="1" customWidth="1"/>
    <col min="8" max="10" width="12.8515625" style="226" customWidth="1"/>
    <col min="11" max="11" width="11.28125" style="226" bestFit="1" customWidth="1"/>
    <col min="12" max="12" width="14.7109375" style="3" customWidth="1"/>
    <col min="13" max="13" width="12.421875" style="3" customWidth="1"/>
    <col min="14" max="14" width="14.00390625" style="3" customWidth="1"/>
    <col min="15" max="16384" width="9.140625" style="3" customWidth="1"/>
  </cols>
  <sheetData>
    <row r="1" spans="1:11" ht="12.75">
      <c r="A1" s="484" t="s">
        <v>118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ht="12.75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12.75">
      <c r="A3" s="490" t="s">
        <v>258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ht="13.5" thickBot="1">
      <c r="F4" s="317"/>
    </row>
    <row r="5" spans="1:11" ht="15" customHeight="1" thickTop="1">
      <c r="A5" s="6"/>
      <c r="B5" s="227"/>
      <c r="C5" s="227"/>
      <c r="D5" s="247"/>
      <c r="E5" s="248"/>
      <c r="F5" s="494" t="s">
        <v>236</v>
      </c>
      <c r="G5" s="489"/>
      <c r="H5" s="489"/>
      <c r="I5" s="489"/>
      <c r="J5" s="489"/>
      <c r="K5" s="489"/>
    </row>
    <row r="6" spans="4:11" ht="12.75">
      <c r="D6" s="243"/>
      <c r="E6" s="244" t="s">
        <v>136</v>
      </c>
      <c r="F6" s="495"/>
      <c r="G6" s="486" t="s">
        <v>237</v>
      </c>
      <c r="H6" s="486"/>
      <c r="I6" s="486"/>
      <c r="J6" s="486"/>
      <c r="K6" s="486"/>
    </row>
    <row r="7" spans="1:11" ht="12.75" customHeight="1">
      <c r="A7" s="3" t="s">
        <v>77</v>
      </c>
      <c r="B7" s="243" t="s">
        <v>43</v>
      </c>
      <c r="C7" s="491" t="s">
        <v>223</v>
      </c>
      <c r="D7" s="243" t="s">
        <v>134</v>
      </c>
      <c r="E7" s="487" t="s">
        <v>175</v>
      </c>
      <c r="F7" s="495"/>
      <c r="G7" s="243"/>
      <c r="H7" s="243"/>
      <c r="I7" s="243"/>
      <c r="J7" s="243"/>
      <c r="K7" s="243" t="s">
        <v>68</v>
      </c>
    </row>
    <row r="8" spans="1:11" ht="12.75" customHeight="1">
      <c r="A8" s="3" t="s">
        <v>33</v>
      </c>
      <c r="B8" s="243" t="s">
        <v>51</v>
      </c>
      <c r="C8" s="491"/>
      <c r="D8" s="243" t="s">
        <v>33</v>
      </c>
      <c r="E8" s="487"/>
      <c r="F8" s="495"/>
      <c r="G8" s="243" t="s">
        <v>67</v>
      </c>
      <c r="H8" s="243" t="s">
        <v>44</v>
      </c>
      <c r="I8" s="243" t="s">
        <v>239</v>
      </c>
      <c r="J8" s="493" t="s">
        <v>238</v>
      </c>
      <c r="K8" s="243" t="s">
        <v>69</v>
      </c>
    </row>
    <row r="9" spans="1:11" ht="13.5" thickBot="1">
      <c r="A9" s="7" t="s">
        <v>132</v>
      </c>
      <c r="B9" s="245" t="s">
        <v>45</v>
      </c>
      <c r="C9" s="492"/>
      <c r="D9" s="245" t="s">
        <v>55</v>
      </c>
      <c r="E9" s="488"/>
      <c r="F9" s="496"/>
      <c r="G9" s="245" t="s">
        <v>63</v>
      </c>
      <c r="H9" s="245" t="s">
        <v>61</v>
      </c>
      <c r="I9" s="245" t="s">
        <v>240</v>
      </c>
      <c r="J9" s="455"/>
      <c r="K9" s="245" t="s">
        <v>33</v>
      </c>
    </row>
    <row r="10" spans="1:11" s="316" customFormat="1" ht="12.75">
      <c r="A10" s="315" t="s">
        <v>0</v>
      </c>
      <c r="B10" s="253">
        <f aca="true" t="shared" si="0" ref="B10:K10">SUM(B12:B39)</f>
        <v>1254655413.9200003</v>
      </c>
      <c r="C10" s="253">
        <f t="shared" si="0"/>
        <v>3865.7799999999997</v>
      </c>
      <c r="D10" s="253">
        <f t="shared" si="0"/>
        <v>377020.05</v>
      </c>
      <c r="E10" s="253">
        <f t="shared" si="0"/>
        <v>3024120.03</v>
      </c>
      <c r="F10" s="253">
        <f t="shared" si="0"/>
        <v>6019609.3100000005</v>
      </c>
      <c r="G10" s="253">
        <f t="shared" si="0"/>
        <v>8577055.81</v>
      </c>
      <c r="H10" s="253">
        <f t="shared" si="0"/>
        <v>14675.56</v>
      </c>
      <c r="I10" s="253">
        <f t="shared" si="0"/>
        <v>21735.350000000002</v>
      </c>
      <c r="J10" s="253">
        <f t="shared" si="0"/>
        <v>518191</v>
      </c>
      <c r="K10" s="253">
        <f t="shared" si="0"/>
        <v>987679.14</v>
      </c>
    </row>
    <row r="11" spans="2:11" ht="12.75">
      <c r="B11" s="336"/>
      <c r="C11" s="336"/>
      <c r="D11" s="254"/>
      <c r="E11" s="337"/>
      <c r="F11" s="337"/>
      <c r="G11" s="254"/>
      <c r="H11" s="254"/>
      <c r="I11" s="254"/>
      <c r="J11" s="254"/>
      <c r="K11" s="254"/>
    </row>
    <row r="12" spans="1:37" ht="12.75">
      <c r="A12" s="3" t="s">
        <v>1</v>
      </c>
      <c r="B12" s="281">
        <f>SUM(C12:K12)+SUM(fed2!B12:K12)+SUM(fed3!B12:J12)+SUM(fed4!B12:L12)+SUM(fed5!B12:M12)</f>
        <v>17047593.17</v>
      </c>
      <c r="C12" s="147">
        <v>0</v>
      </c>
      <c r="D12" s="154">
        <v>0</v>
      </c>
      <c r="E12" s="154">
        <v>0</v>
      </c>
      <c r="F12" s="154">
        <v>0</v>
      </c>
      <c r="G12" s="154">
        <v>142888</v>
      </c>
      <c r="H12" s="154">
        <v>0</v>
      </c>
      <c r="I12" s="154">
        <v>0</v>
      </c>
      <c r="J12" s="154">
        <v>31462.13</v>
      </c>
      <c r="K12" s="154">
        <v>15955</v>
      </c>
      <c r="L12" s="2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3" t="s">
        <v>2</v>
      </c>
      <c r="B13" s="281">
        <f>SUM(C13:K13)+SUM(fed2!B13:K13)+SUM(fed3!B13:J13)+SUM(fed4!B13:L13)+SUM(fed5!B13:M13)</f>
        <v>78340830.04</v>
      </c>
      <c r="C13" s="147">
        <v>0</v>
      </c>
      <c r="D13" s="154">
        <v>0</v>
      </c>
      <c r="E13" s="154">
        <v>0</v>
      </c>
      <c r="F13" s="154">
        <v>334400.99</v>
      </c>
      <c r="G13" s="358">
        <v>624604.54</v>
      </c>
      <c r="H13" s="154">
        <v>0</v>
      </c>
      <c r="I13" s="154">
        <v>0</v>
      </c>
      <c r="J13" s="358">
        <v>56412.24</v>
      </c>
      <c r="K13" s="358">
        <v>66307.85</v>
      </c>
      <c r="L13" s="2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>
      <c r="A14" s="3" t="s">
        <v>3</v>
      </c>
      <c r="B14" s="281">
        <f>SUM(C14:K14)+SUM(fed2!B14:K14)+SUM(fed3!B14:J14)+SUM(fed4!B14:L14)+SUM(fed5!B14:M14)</f>
        <v>277753958.79999995</v>
      </c>
      <c r="C14" s="147">
        <v>0</v>
      </c>
      <c r="D14" s="154">
        <v>0</v>
      </c>
      <c r="E14" s="154">
        <v>0</v>
      </c>
      <c r="F14" s="154">
        <v>367364.65</v>
      </c>
      <c r="G14" s="154">
        <v>1660869.22</v>
      </c>
      <c r="H14" s="154">
        <v>0</v>
      </c>
      <c r="I14" s="154">
        <v>0</v>
      </c>
      <c r="J14" s="154">
        <v>3826.9</v>
      </c>
      <c r="K14" s="154">
        <v>222688.77</v>
      </c>
      <c r="L14" s="2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>
      <c r="A15" s="3" t="s">
        <v>4</v>
      </c>
      <c r="B15" s="281">
        <f>SUM(C15:K15)+SUM(fed2!B15:K15)+SUM(fed3!B15:J15)+SUM(fed4!B15:L15)+SUM(fed5!B15:M15)</f>
        <v>138274548.94</v>
      </c>
      <c r="C15" s="147">
        <v>0</v>
      </c>
      <c r="D15" s="388">
        <v>197490.85</v>
      </c>
      <c r="E15" s="154">
        <v>0</v>
      </c>
      <c r="F15" s="154">
        <v>656885.88</v>
      </c>
      <c r="G15" s="154">
        <v>1114519.0899999999</v>
      </c>
      <c r="H15" s="154">
        <v>0</v>
      </c>
      <c r="I15" s="154">
        <v>0</v>
      </c>
      <c r="J15" s="154">
        <v>134536.53</v>
      </c>
      <c r="K15" s="154">
        <v>115925.33</v>
      </c>
      <c r="L15" s="2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3.5" customHeight="1">
      <c r="A16" s="3" t="s">
        <v>5</v>
      </c>
      <c r="B16" s="281">
        <f>SUM(C16:K16)+SUM(fed2!B16:K16)+SUM(fed3!B16:J16)+SUM(fed4!B16:L16)+SUM(fed5!B16:M16)</f>
        <v>15670566.859999998</v>
      </c>
      <c r="C16" s="147">
        <v>0</v>
      </c>
      <c r="D16" s="154">
        <v>100630</v>
      </c>
      <c r="E16" s="154">
        <v>0</v>
      </c>
      <c r="F16" s="154">
        <v>53006.78</v>
      </c>
      <c r="G16" s="154">
        <v>111311.54</v>
      </c>
      <c r="H16" s="154">
        <v>0</v>
      </c>
      <c r="I16" s="154">
        <v>4632.97</v>
      </c>
      <c r="J16" s="154">
        <v>25740.02</v>
      </c>
      <c r="K16" s="154">
        <v>12478.4</v>
      </c>
      <c r="L16" s="2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2:37" ht="13.5" customHeight="1">
      <c r="B17" s="281"/>
      <c r="C17" s="147"/>
      <c r="D17" s="154"/>
      <c r="E17" s="389"/>
      <c r="F17" s="389"/>
      <c r="G17" s="154"/>
      <c r="H17" s="154"/>
      <c r="I17" s="154"/>
      <c r="J17" s="154"/>
      <c r="K17" s="154"/>
      <c r="L17" s="20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>
      <c r="A18" s="3" t="s">
        <v>6</v>
      </c>
      <c r="B18" s="281">
        <f>SUM(C18:K18)+SUM(fed2!B18:K18)+SUM(fed3!B18:J18)+SUM(fed4!B18:L18)+SUM(fed5!B18:M18)</f>
        <v>8750205.91</v>
      </c>
      <c r="C18" s="147">
        <v>0</v>
      </c>
      <c r="D18" s="154">
        <v>0</v>
      </c>
      <c r="E18" s="154">
        <v>2450.79</v>
      </c>
      <c r="F18" s="154">
        <v>34401.92</v>
      </c>
      <c r="G18" s="154">
        <v>71329</v>
      </c>
      <c r="H18" s="154">
        <v>1000</v>
      </c>
      <c r="I18" s="154">
        <v>0</v>
      </c>
      <c r="J18" s="154">
        <v>8874.35</v>
      </c>
      <c r="K18" s="154">
        <v>7965</v>
      </c>
      <c r="L18" s="2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>
      <c r="A19" s="3" t="s">
        <v>7</v>
      </c>
      <c r="B19" s="281">
        <f>SUM(C19:K19)+SUM(fed2!B19:K19)+SUM(fed3!B19:J19)+SUM(fed4!B19:L19)+SUM(fed5!B19:M19)</f>
        <v>17383648.180000003</v>
      </c>
      <c r="C19" s="147">
        <v>0</v>
      </c>
      <c r="D19" s="154">
        <v>0</v>
      </c>
      <c r="E19" s="154">
        <v>4291.99</v>
      </c>
      <c r="F19" s="154">
        <v>32059.31</v>
      </c>
      <c r="G19" s="154">
        <v>190465</v>
      </c>
      <c r="H19" s="154">
        <v>0</v>
      </c>
      <c r="I19" s="154">
        <v>0</v>
      </c>
      <c r="J19" s="154">
        <v>39644.01</v>
      </c>
      <c r="K19" s="154">
        <v>21268</v>
      </c>
      <c r="L19" s="2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3" t="s">
        <v>8</v>
      </c>
      <c r="B20" s="281">
        <f>SUM(C20:K20)+SUM(fed2!B20:K20)+SUM(fed3!B20:J20)+SUM(fed4!B20:L20)+SUM(fed5!B20:M20)</f>
        <v>20774713</v>
      </c>
      <c r="C20" s="147">
        <v>0</v>
      </c>
      <c r="D20" s="154">
        <v>0</v>
      </c>
      <c r="E20" s="390">
        <v>0</v>
      </c>
      <c r="F20" s="358">
        <v>20150.96</v>
      </c>
      <c r="G20" s="358">
        <v>168615.24</v>
      </c>
      <c r="H20" s="358">
        <v>1237.69</v>
      </c>
      <c r="I20" s="154">
        <v>0</v>
      </c>
      <c r="J20" s="358">
        <v>16088</v>
      </c>
      <c r="K20" s="358">
        <v>18840</v>
      </c>
      <c r="L20" s="2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3" t="s">
        <v>9</v>
      </c>
      <c r="B21" s="281">
        <f>SUM(C21:K21)+SUM(fed2!B21:K21)+SUM(fed3!B21:J21)+SUM(fed4!B21:L21)+SUM(fed5!B21:M21)</f>
        <v>21961967.590000004</v>
      </c>
      <c r="C21" s="147">
        <v>0</v>
      </c>
      <c r="D21" s="154">
        <v>0</v>
      </c>
      <c r="E21" s="390">
        <v>0</v>
      </c>
      <c r="F21" s="358">
        <v>34546</v>
      </c>
      <c r="G21" s="154">
        <v>214765</v>
      </c>
      <c r="H21" s="154">
        <v>0</v>
      </c>
      <c r="I21" s="154">
        <v>0</v>
      </c>
      <c r="J21" s="154">
        <v>21471</v>
      </c>
      <c r="K21" s="154">
        <v>23981</v>
      </c>
      <c r="L21" s="2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>
      <c r="A22" s="3" t="s">
        <v>10</v>
      </c>
      <c r="B22" s="281">
        <f>SUM(C22:K22)+SUM(fed2!B22:K22)+SUM(fed3!B22:J22)+SUM(fed4!B22:L22)+SUM(fed5!B22:M22)</f>
        <v>7474649.1</v>
      </c>
      <c r="C22" s="147">
        <v>0</v>
      </c>
      <c r="D22" s="154">
        <v>0</v>
      </c>
      <c r="E22" s="390">
        <v>0</v>
      </c>
      <c r="F22" s="154">
        <v>16395.030000000002</v>
      </c>
      <c r="G22" s="154">
        <v>84164</v>
      </c>
      <c r="H22" s="154">
        <v>0</v>
      </c>
      <c r="I22" s="154">
        <v>0</v>
      </c>
      <c r="J22" s="154">
        <v>0</v>
      </c>
      <c r="K22" s="154">
        <v>9398</v>
      </c>
      <c r="L22" s="20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2.75">
      <c r="B23" s="281"/>
      <c r="C23" s="172"/>
      <c r="D23" s="154"/>
      <c r="E23" s="389"/>
      <c r="F23" s="389"/>
      <c r="G23" s="154"/>
      <c r="H23" s="154"/>
      <c r="I23" s="154"/>
      <c r="J23" s="154"/>
      <c r="K23" s="154"/>
      <c r="L23" s="2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>
      <c r="A24" s="3" t="s">
        <v>11</v>
      </c>
      <c r="B24" s="281">
        <f>SUM(C24:K24)+SUM(fed2!B24:K24)+SUM(fed3!B24:J24)+SUM(fed4!B24:L24)+SUM(fed5!B24:M24)</f>
        <v>39407508.50999999</v>
      </c>
      <c r="C24" s="147">
        <v>0</v>
      </c>
      <c r="D24" s="154">
        <v>0</v>
      </c>
      <c r="E24" s="390">
        <v>0</v>
      </c>
      <c r="F24" s="358">
        <v>234257.77000000002</v>
      </c>
      <c r="G24" s="154">
        <v>276832.85</v>
      </c>
      <c r="H24" s="154">
        <v>0</v>
      </c>
      <c r="I24" s="154">
        <v>0</v>
      </c>
      <c r="J24" s="154">
        <v>0</v>
      </c>
      <c r="K24" s="154">
        <v>29946.2</v>
      </c>
      <c r="L24" s="2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3" t="s">
        <v>12</v>
      </c>
      <c r="B25" s="281">
        <f>SUM(C25:K25)+SUM(fed2!B25:K25)+SUM(fed3!B25:J25)+SUM(fed4!B25:L25)+SUM(fed5!B25:M25)</f>
        <v>7829028.51</v>
      </c>
      <c r="C25" s="147">
        <v>0</v>
      </c>
      <c r="D25" s="154">
        <v>0</v>
      </c>
      <c r="E25" s="390">
        <v>0</v>
      </c>
      <c r="F25" s="390">
        <v>0</v>
      </c>
      <c r="G25" s="154">
        <v>76811</v>
      </c>
      <c r="H25" s="154">
        <v>0</v>
      </c>
      <c r="I25" s="154">
        <v>0</v>
      </c>
      <c r="J25" s="154">
        <v>0</v>
      </c>
      <c r="K25" s="154">
        <v>8577</v>
      </c>
      <c r="L25" s="2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>
      <c r="A26" s="3" t="s">
        <v>13</v>
      </c>
      <c r="B26" s="281">
        <f>SUM(C26:K26)+SUM(fed2!B26:K26)+SUM(fed3!B26:J26)+SUM(fed4!B26:L26)+SUM(fed5!B26:M26)</f>
        <v>41604911.5</v>
      </c>
      <c r="C26" s="147">
        <v>0</v>
      </c>
      <c r="D26" s="154">
        <v>0</v>
      </c>
      <c r="E26" s="390">
        <v>0</v>
      </c>
      <c r="F26" s="358">
        <v>101278.82</v>
      </c>
      <c r="G26" s="358">
        <v>316315</v>
      </c>
      <c r="H26" s="358">
        <v>2191.87</v>
      </c>
      <c r="I26" s="154">
        <v>0</v>
      </c>
      <c r="J26" s="358">
        <v>10000</v>
      </c>
      <c r="K26" s="358">
        <v>35320</v>
      </c>
      <c r="L26" s="2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3" t="s">
        <v>14</v>
      </c>
      <c r="B27" s="281">
        <f>SUM(C27:K27)+SUM(fed2!B27:K27)+SUM(fed3!B27:J27)+SUM(fed4!B27:L27)+SUM(fed5!B27:M27)</f>
        <v>39986546.83</v>
      </c>
      <c r="C27" s="147">
        <v>0</v>
      </c>
      <c r="D27" s="154">
        <v>0</v>
      </c>
      <c r="E27" s="390">
        <v>0</v>
      </c>
      <c r="F27" s="358">
        <v>318732.25</v>
      </c>
      <c r="G27" s="358">
        <v>292497.94</v>
      </c>
      <c r="H27" s="358">
        <v>8746</v>
      </c>
      <c r="I27" s="154">
        <v>0</v>
      </c>
      <c r="J27" s="358">
        <v>0</v>
      </c>
      <c r="K27" s="358">
        <v>33420</v>
      </c>
      <c r="L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>
      <c r="A28" s="3" t="s">
        <v>15</v>
      </c>
      <c r="B28" s="281">
        <f>SUM(C28:K28)+SUM(fed2!B28:K28)+SUM(fed3!B28:J28)+SUM(fed4!B28:L28)+SUM(fed5!B28:M28)</f>
        <v>4121683.12</v>
      </c>
      <c r="C28" s="147">
        <v>0</v>
      </c>
      <c r="D28" s="147">
        <v>0</v>
      </c>
      <c r="E28" s="358">
        <v>13166</v>
      </c>
      <c r="F28" s="358">
        <v>10266.04</v>
      </c>
      <c r="G28" s="358">
        <v>35664</v>
      </c>
      <c r="H28" s="358">
        <v>1500</v>
      </c>
      <c r="I28" s="358">
        <v>0</v>
      </c>
      <c r="J28" s="358">
        <v>34120</v>
      </c>
      <c r="K28" s="358">
        <v>3982</v>
      </c>
      <c r="L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2.75">
      <c r="B29" s="281"/>
      <c r="C29" s="147"/>
      <c r="D29" s="154"/>
      <c r="E29" s="389"/>
      <c r="F29" s="389"/>
      <c r="G29" s="358"/>
      <c r="H29" s="358"/>
      <c r="I29" s="358"/>
      <c r="J29" s="358"/>
      <c r="K29" s="358"/>
      <c r="L29" s="2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>
      <c r="A30" s="3" t="s">
        <v>16</v>
      </c>
      <c r="B30" s="281">
        <f>SUM(C30:K30)+SUM(fed2!B30:K30)+SUM(fed3!B30:J30)+SUM(fed4!B30:L30)+SUM(fed5!B30:M30)</f>
        <v>165504981.23</v>
      </c>
      <c r="C30" s="147">
        <v>0</v>
      </c>
      <c r="D30" s="154">
        <v>0</v>
      </c>
      <c r="E30" s="358">
        <v>2982079.18</v>
      </c>
      <c r="F30" s="358">
        <v>327988.74</v>
      </c>
      <c r="G30" s="153">
        <v>1177983</v>
      </c>
      <c r="H30" s="154">
        <v>0</v>
      </c>
      <c r="I30" s="154">
        <v>0</v>
      </c>
      <c r="J30" s="153">
        <v>32656</v>
      </c>
      <c r="K30" s="153">
        <v>131535</v>
      </c>
      <c r="L30" s="2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3" t="s">
        <v>17</v>
      </c>
      <c r="B31" s="281">
        <f>SUM(C31:K31)+SUM(fed2!B31:K31)+SUM(fed3!B31:J31)+SUM(fed4!B31:L31)+SUM(fed5!B31:M31)</f>
        <v>246933845.57</v>
      </c>
      <c r="C31" s="147">
        <v>0</v>
      </c>
      <c r="D31" s="154">
        <v>0</v>
      </c>
      <c r="E31" s="358">
        <v>8695.5</v>
      </c>
      <c r="F31" s="358">
        <v>3206310.01</v>
      </c>
      <c r="G31" s="153">
        <v>1108958</v>
      </c>
      <c r="H31" s="154">
        <v>0</v>
      </c>
      <c r="I31" s="154">
        <v>0</v>
      </c>
      <c r="J31" s="153">
        <v>0</v>
      </c>
      <c r="K31" s="153">
        <v>129634</v>
      </c>
      <c r="L31" s="2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s="54" customFormat="1" ht="12.75">
      <c r="A32" s="54" t="s">
        <v>18</v>
      </c>
      <c r="B32" s="281">
        <f>SUM(C32:K32)+SUM(fed2!B32:K32)+SUM(fed3!B32:J32)+SUM(fed4!B32:L32)+SUM(fed5!B32:M32)</f>
        <v>8049180.709999999</v>
      </c>
      <c r="C32" s="147">
        <v>0</v>
      </c>
      <c r="D32" s="154">
        <v>0</v>
      </c>
      <c r="E32" s="358">
        <v>7500</v>
      </c>
      <c r="F32" s="358">
        <v>20047.48</v>
      </c>
      <c r="G32" s="153">
        <v>59724</v>
      </c>
      <c r="H32" s="154">
        <v>0</v>
      </c>
      <c r="I32" s="154">
        <v>0</v>
      </c>
      <c r="J32" s="153">
        <v>9744</v>
      </c>
      <c r="K32" s="153">
        <v>6669</v>
      </c>
      <c r="L32" s="70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</row>
    <row r="33" spans="1:37" ht="12.75">
      <c r="A33" s="3" t="s">
        <v>19</v>
      </c>
      <c r="B33" s="281">
        <f>SUM(C33:K33)+SUM(fed2!B33:K33)+SUM(fed3!B33:J33)+SUM(fed4!B33:L33)+SUM(fed5!B33:M33)</f>
        <v>22500845.410000004</v>
      </c>
      <c r="C33" s="147">
        <v>0</v>
      </c>
      <c r="D33" s="154">
        <v>56379</v>
      </c>
      <c r="E33" s="390">
        <v>0</v>
      </c>
      <c r="F33" s="358">
        <v>26884.100000000002</v>
      </c>
      <c r="G33" s="153">
        <v>168630.17</v>
      </c>
      <c r="H33" s="154">
        <v>0</v>
      </c>
      <c r="I33" s="154">
        <v>0</v>
      </c>
      <c r="J33" s="153">
        <v>0</v>
      </c>
      <c r="K33" s="153">
        <v>18889</v>
      </c>
      <c r="L33" s="2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>
      <c r="A34" s="3" t="s">
        <v>20</v>
      </c>
      <c r="B34" s="281">
        <f>SUM(C34:K34)+SUM(fed2!B34:K34)+SUM(fed3!B34:J34)+SUM(fed4!B34:L34)+SUM(fed5!B34:M34)</f>
        <v>6717631.43</v>
      </c>
      <c r="C34" s="147">
        <v>3865.7799999999997</v>
      </c>
      <c r="D34" s="154">
        <v>22520.2</v>
      </c>
      <c r="E34" s="390">
        <v>0</v>
      </c>
      <c r="F34" s="358">
        <v>17583.79</v>
      </c>
      <c r="G34" s="153">
        <v>66884.15</v>
      </c>
      <c r="H34" s="154">
        <v>0</v>
      </c>
      <c r="I34" s="154">
        <v>0</v>
      </c>
      <c r="J34" s="153">
        <v>0</v>
      </c>
      <c r="K34" s="153">
        <v>7663</v>
      </c>
      <c r="L34" s="2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2.75">
      <c r="B35" s="281"/>
      <c r="C35" s="147"/>
      <c r="D35" s="154"/>
      <c r="E35" s="389"/>
      <c r="F35" s="154"/>
      <c r="G35" s="154"/>
      <c r="H35" s="154"/>
      <c r="I35" s="154"/>
      <c r="J35" s="154"/>
      <c r="K35" s="154"/>
      <c r="L35" s="2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>
      <c r="A36" s="3" t="s">
        <v>21</v>
      </c>
      <c r="B36" s="281">
        <f>SUM(C36:K36)+SUM(fed2!B36:K36)+SUM(fed3!B36:J36)+SUM(fed4!B36:L36)+SUM(fed5!B36:M36)</f>
        <v>4408559.37</v>
      </c>
      <c r="C36" s="147">
        <v>0</v>
      </c>
      <c r="D36" s="154">
        <v>0</v>
      </c>
      <c r="E36" s="412">
        <v>5936.570000000001</v>
      </c>
      <c r="F36" s="358">
        <v>32064.79</v>
      </c>
      <c r="G36" s="358">
        <v>55222</v>
      </c>
      <c r="H36" s="154">
        <v>0</v>
      </c>
      <c r="I36" s="358">
        <v>0</v>
      </c>
      <c r="J36" s="358">
        <v>18819.99</v>
      </c>
      <c r="K36" s="358">
        <v>6200</v>
      </c>
      <c r="L36" s="2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3" t="s">
        <v>22</v>
      </c>
      <c r="B37" s="281">
        <f>SUM(C37:K37)+SUM(fed2!B37:K37)+SUM(fed3!B37:J37)+SUM(fed4!B37:L37)+SUM(fed5!B37:M37)</f>
        <v>31478526.13</v>
      </c>
      <c r="C37" s="147">
        <v>0</v>
      </c>
      <c r="D37" s="154">
        <v>0</v>
      </c>
      <c r="E37" s="390">
        <v>0</v>
      </c>
      <c r="F37" s="154">
        <v>74856.13</v>
      </c>
      <c r="G37" s="154">
        <v>240662.07</v>
      </c>
      <c r="H37" s="154">
        <v>0</v>
      </c>
      <c r="I37" s="154">
        <v>17102.38</v>
      </c>
      <c r="J37" s="154">
        <v>25264.83</v>
      </c>
      <c r="K37" s="154">
        <v>25602.59</v>
      </c>
      <c r="L37" s="2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>
      <c r="A38" s="3" t="s">
        <v>23</v>
      </c>
      <c r="B38" s="281">
        <f>SUM(C38:K38)+SUM(fed2!B38:K38)+SUM(fed3!B38:J38)+SUM(fed4!B38:L38)+SUM(fed5!B38:M38)</f>
        <v>21732758.54</v>
      </c>
      <c r="C38" s="147">
        <v>0</v>
      </c>
      <c r="D38" s="154">
        <v>0</v>
      </c>
      <c r="E38" s="390">
        <v>0</v>
      </c>
      <c r="F38" s="358">
        <v>71943.41</v>
      </c>
      <c r="G38" s="154">
        <v>220526</v>
      </c>
      <c r="H38" s="154">
        <v>0</v>
      </c>
      <c r="I38" s="154">
        <v>0</v>
      </c>
      <c r="J38" s="154">
        <v>0</v>
      </c>
      <c r="K38" s="154">
        <v>24624</v>
      </c>
      <c r="L38" s="20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>
      <c r="A39" s="12" t="s">
        <v>24</v>
      </c>
      <c r="B39" s="338">
        <f>SUM(C39:K39)+SUM(fed2!B39:K39)+SUM(fed3!B39:J39)+SUM(fed4!B39:L39)+SUM(fed5!B39:M39)</f>
        <v>10946725.469999999</v>
      </c>
      <c r="C39" s="391">
        <v>0</v>
      </c>
      <c r="D39" s="155">
        <v>0</v>
      </c>
      <c r="E39" s="155">
        <v>0</v>
      </c>
      <c r="F39" s="393">
        <v>28184.46</v>
      </c>
      <c r="G39" s="155">
        <v>96815</v>
      </c>
      <c r="H39" s="155">
        <v>0</v>
      </c>
      <c r="I39" s="155">
        <v>0</v>
      </c>
      <c r="J39" s="155">
        <v>49531</v>
      </c>
      <c r="K39" s="155">
        <v>10810</v>
      </c>
      <c r="L39" s="20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2.75">
      <c r="B40" s="228"/>
      <c r="C40" s="228"/>
      <c r="D40" s="228"/>
      <c r="G40" s="228"/>
      <c r="H40" s="228"/>
      <c r="I40" s="228"/>
      <c r="J40" s="228"/>
      <c r="K40" s="22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2.75">
      <c r="B41" s="229"/>
      <c r="C41" s="229"/>
      <c r="D41" s="228"/>
      <c r="G41" s="228"/>
      <c r="H41" s="228"/>
      <c r="I41" s="228"/>
      <c r="J41" s="228"/>
      <c r="K41" s="22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4:37" ht="12.75">
      <c r="D42" s="228"/>
      <c r="G42" s="228"/>
      <c r="H42" s="228"/>
      <c r="I42" s="228"/>
      <c r="J42" s="228"/>
      <c r="K42" s="22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4:37" ht="12.75">
      <c r="D43" s="228"/>
      <c r="G43" s="228"/>
      <c r="H43" s="228"/>
      <c r="I43" s="228"/>
      <c r="J43" s="228"/>
      <c r="K43" s="22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4:37" ht="12.75">
      <c r="D44" s="228"/>
      <c r="G44" s="228"/>
      <c r="H44" s="228"/>
      <c r="I44" s="228"/>
      <c r="J44" s="228"/>
      <c r="K44" s="22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4:37" ht="12.75">
      <c r="D45" s="228"/>
      <c r="G45" s="228"/>
      <c r="H45" s="228"/>
      <c r="I45" s="228"/>
      <c r="J45" s="228"/>
      <c r="K45" s="22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4:37" ht="12.75">
      <c r="D46" s="228"/>
      <c r="G46" s="228"/>
      <c r="H46" s="228"/>
      <c r="I46" s="228"/>
      <c r="J46" s="228"/>
      <c r="K46" s="22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4:37" ht="12.75">
      <c r="D47" s="228"/>
      <c r="G47" s="228"/>
      <c r="H47" s="228"/>
      <c r="I47" s="228"/>
      <c r="J47" s="228"/>
      <c r="K47" s="22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4:37" ht="12.75">
      <c r="D48" s="228"/>
      <c r="G48" s="228"/>
      <c r="H48" s="228"/>
      <c r="I48" s="228"/>
      <c r="J48" s="228"/>
      <c r="K48" s="22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4:37" ht="12.75">
      <c r="D49" s="228"/>
      <c r="G49" s="228"/>
      <c r="H49" s="228"/>
      <c r="I49" s="228"/>
      <c r="J49" s="228"/>
      <c r="K49" s="22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4:37" ht="12.75">
      <c r="D50" s="228"/>
      <c r="G50" s="228"/>
      <c r="H50" s="228"/>
      <c r="I50" s="228"/>
      <c r="J50" s="228"/>
      <c r="K50" s="22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4:37" ht="12.75">
      <c r="D51" s="228"/>
      <c r="G51" s="228"/>
      <c r="H51" s="228"/>
      <c r="I51" s="228"/>
      <c r="J51" s="228"/>
      <c r="K51" s="22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4:37" ht="12.75">
      <c r="D52" s="228"/>
      <c r="G52" s="228"/>
      <c r="H52" s="228"/>
      <c r="I52" s="228"/>
      <c r="J52" s="228"/>
      <c r="K52" s="22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4:37" ht="12.75">
      <c r="D53" s="228"/>
      <c r="G53" s="228"/>
      <c r="H53" s="228"/>
      <c r="I53" s="228"/>
      <c r="J53" s="228"/>
      <c r="K53" s="22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4:37" ht="12.75">
      <c r="D54" s="228"/>
      <c r="G54" s="228"/>
      <c r="H54" s="228"/>
      <c r="I54" s="228"/>
      <c r="J54" s="228"/>
      <c r="K54" s="22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4:37" ht="12.75">
      <c r="D55" s="228"/>
      <c r="G55" s="228"/>
      <c r="H55" s="228"/>
      <c r="I55" s="228"/>
      <c r="J55" s="228"/>
      <c r="K55" s="22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4:37" ht="12.75">
      <c r="D56" s="228"/>
      <c r="G56" s="228"/>
      <c r="H56" s="228"/>
      <c r="I56" s="228"/>
      <c r="J56" s="228"/>
      <c r="K56" s="22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4:37" ht="12.75">
      <c r="D57" s="228"/>
      <c r="G57" s="228"/>
      <c r="H57" s="228"/>
      <c r="I57" s="228"/>
      <c r="J57" s="228"/>
      <c r="K57" s="22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4:37" ht="12.75">
      <c r="D58" s="228"/>
      <c r="G58" s="228"/>
      <c r="H58" s="228"/>
      <c r="I58" s="228"/>
      <c r="J58" s="228"/>
      <c r="K58" s="22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4:37" ht="12.75">
      <c r="D59" s="228"/>
      <c r="G59" s="228"/>
      <c r="H59" s="228"/>
      <c r="I59" s="228"/>
      <c r="J59" s="228"/>
      <c r="K59" s="22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4:37" ht="12.75">
      <c r="D60" s="228"/>
      <c r="G60" s="228"/>
      <c r="H60" s="228"/>
      <c r="I60" s="228"/>
      <c r="J60" s="228"/>
      <c r="K60" s="22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4:37" ht="12.75">
      <c r="D61" s="228"/>
      <c r="G61" s="228"/>
      <c r="H61" s="228"/>
      <c r="I61" s="228"/>
      <c r="J61" s="228"/>
      <c r="K61" s="22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4:37" ht="12.75">
      <c r="D62" s="228"/>
      <c r="G62" s="228"/>
      <c r="H62" s="228"/>
      <c r="I62" s="228"/>
      <c r="J62" s="228"/>
      <c r="K62" s="22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4:37" ht="12.75">
      <c r="D63" s="228"/>
      <c r="G63" s="228"/>
      <c r="H63" s="228"/>
      <c r="I63" s="228"/>
      <c r="J63" s="228"/>
      <c r="K63" s="22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4:37" ht="12.75">
      <c r="D64" s="228"/>
      <c r="G64" s="228"/>
      <c r="H64" s="228"/>
      <c r="I64" s="228"/>
      <c r="J64" s="228"/>
      <c r="K64" s="228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4:37" ht="12.75">
      <c r="D65" s="228"/>
      <c r="G65" s="228"/>
      <c r="H65" s="228"/>
      <c r="I65" s="228"/>
      <c r="J65" s="228"/>
      <c r="K65" s="228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4:37" ht="12.75">
      <c r="D66" s="228"/>
      <c r="G66" s="228"/>
      <c r="H66" s="228"/>
      <c r="I66" s="228"/>
      <c r="J66" s="228"/>
      <c r="K66" s="228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4:37" ht="12.75">
      <c r="D67" s="228"/>
      <c r="G67" s="228"/>
      <c r="H67" s="228"/>
      <c r="I67" s="228"/>
      <c r="J67" s="228"/>
      <c r="K67" s="228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4:37" ht="12.75">
      <c r="D68" s="228"/>
      <c r="G68" s="228"/>
      <c r="H68" s="228"/>
      <c r="I68" s="228"/>
      <c r="J68" s="228"/>
      <c r="K68" s="228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4:37" ht="12.75">
      <c r="D69" s="228"/>
      <c r="G69" s="228"/>
      <c r="H69" s="228"/>
      <c r="I69" s="228"/>
      <c r="J69" s="228"/>
      <c r="K69" s="22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4:37" ht="12.75">
      <c r="D70" s="228"/>
      <c r="G70" s="228"/>
      <c r="H70" s="228"/>
      <c r="I70" s="228"/>
      <c r="J70" s="228"/>
      <c r="K70" s="228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4:37" ht="12.75">
      <c r="D71" s="228"/>
      <c r="G71" s="228"/>
      <c r="H71" s="228"/>
      <c r="I71" s="228"/>
      <c r="J71" s="228"/>
      <c r="K71" s="228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4:37" ht="12.75">
      <c r="D72" s="228"/>
      <c r="G72" s="228"/>
      <c r="H72" s="228"/>
      <c r="I72" s="228"/>
      <c r="J72" s="228"/>
      <c r="K72" s="228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4:37" ht="12.75">
      <c r="D73" s="228"/>
      <c r="G73" s="228"/>
      <c r="H73" s="228"/>
      <c r="I73" s="228"/>
      <c r="J73" s="228"/>
      <c r="K73" s="228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4:37" ht="12.75">
      <c r="D74" s="228"/>
      <c r="G74" s="228"/>
      <c r="H74" s="228"/>
      <c r="I74" s="228"/>
      <c r="J74" s="228"/>
      <c r="K74" s="228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4:37" ht="12.75">
      <c r="D75" s="228"/>
      <c r="G75" s="228"/>
      <c r="H75" s="228"/>
      <c r="I75" s="228"/>
      <c r="J75" s="228"/>
      <c r="K75" s="228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4:37" ht="12.75">
      <c r="D76" s="228"/>
      <c r="G76" s="228"/>
      <c r="H76" s="228"/>
      <c r="I76" s="228"/>
      <c r="J76" s="228"/>
      <c r="K76" s="228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</sheetData>
  <sheetProtection password="CAF5" sheet="1" objects="1" scenarios="1"/>
  <mergeCells count="9">
    <mergeCell ref="A1:K1"/>
    <mergeCell ref="G6:K6"/>
    <mergeCell ref="E7:E9"/>
    <mergeCell ref="A2:K2"/>
    <mergeCell ref="G5:K5"/>
    <mergeCell ref="A3:K3"/>
    <mergeCell ref="C7:C9"/>
    <mergeCell ref="J8:J9"/>
    <mergeCell ref="F5:F9"/>
  </mergeCells>
  <printOptions horizontalCentered="1"/>
  <pageMargins left="0.27" right="0.34" top="0.83" bottom="1" header="0.67" footer="0.5"/>
  <pageSetup fitToHeight="1" fitToWidth="1" horizontalDpi="600" verticalDpi="600" orientation="landscape" scale="88" r:id="rId1"/>
  <headerFooter alignWithMargins="0">
    <oddFooter>&amp;L&amp;"Arial,Italic"&amp;9MSDE - LFRO  11 / 2012
&amp;C- 12 -&amp;R&amp;"Arial,Italic"&amp;9Selected Financial Data-Part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F1">
      <selection activeCell="K10" sqref="K10"/>
    </sheetView>
  </sheetViews>
  <sheetFormatPr defaultColWidth="9.140625" defaultRowHeight="12.75"/>
  <cols>
    <col min="1" max="1" width="14.421875" style="0" customWidth="1"/>
    <col min="2" max="2" width="15.28125" style="0" customWidth="1"/>
    <col min="3" max="4" width="14.421875" style="0" customWidth="1"/>
    <col min="5" max="5" width="12.28125" style="0" customWidth="1"/>
    <col min="6" max="7" width="14.421875" style="0" customWidth="1"/>
    <col min="8" max="8" width="14.421875" style="250" customWidth="1"/>
    <col min="9" max="9" width="21.421875" style="250" customWidth="1"/>
    <col min="10" max="10" width="11.57421875" style="250" customWidth="1"/>
    <col min="11" max="11" width="14.00390625" style="250" customWidth="1"/>
    <col min="12" max="12" width="12.8515625" style="0" bestFit="1" customWidth="1"/>
  </cols>
  <sheetData>
    <row r="1" spans="1:12" ht="12.75">
      <c r="A1" s="484" t="s">
        <v>119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9" ht="12.75">
      <c r="A2" s="3"/>
      <c r="B2" s="3"/>
      <c r="C2" s="3"/>
      <c r="D2" s="3"/>
      <c r="E2" s="3"/>
      <c r="F2" s="3"/>
      <c r="G2" s="3"/>
      <c r="H2" s="226"/>
      <c r="I2" s="226"/>
    </row>
    <row r="3" spans="1:12" ht="12.75">
      <c r="A3" s="490" t="s">
        <v>262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2" ht="13.5" thickBot="1">
      <c r="A4" s="3"/>
      <c r="B4" s="3"/>
      <c r="C4" s="3"/>
      <c r="D4" s="3"/>
      <c r="E4" s="3"/>
      <c r="F4" s="3"/>
      <c r="G4" s="3"/>
      <c r="H4" s="226"/>
      <c r="I4" s="226"/>
      <c r="J4" s="226"/>
      <c r="K4" s="226"/>
      <c r="L4" s="3"/>
    </row>
    <row r="5" spans="1:11" ht="15" customHeight="1" thickTop="1">
      <c r="A5" s="6"/>
      <c r="B5" s="307" t="s">
        <v>56</v>
      </c>
      <c r="C5" s="307"/>
      <c r="D5" s="307"/>
      <c r="E5" s="307"/>
      <c r="F5" s="307"/>
      <c r="G5" s="307"/>
      <c r="H5" s="307"/>
      <c r="I5" s="307"/>
      <c r="J5" s="307"/>
      <c r="K5" s="307"/>
    </row>
    <row r="6" spans="1:11" ht="12.75" customHeight="1">
      <c r="A6" s="3"/>
      <c r="B6" s="503" t="s">
        <v>243</v>
      </c>
      <c r="C6" s="504"/>
      <c r="D6" s="504"/>
      <c r="E6" s="504"/>
      <c r="F6" s="504"/>
      <c r="G6" s="504"/>
      <c r="H6" s="504"/>
      <c r="I6" s="505"/>
      <c r="J6" s="243" t="s">
        <v>228</v>
      </c>
      <c r="K6" s="242" t="s">
        <v>228</v>
      </c>
    </row>
    <row r="7" spans="1:11" ht="12.75" customHeight="1">
      <c r="A7" s="3" t="s">
        <v>77</v>
      </c>
      <c r="B7" s="243" t="s">
        <v>62</v>
      </c>
      <c r="C7" s="493" t="s">
        <v>224</v>
      </c>
      <c r="D7" s="501" t="s">
        <v>225</v>
      </c>
      <c r="E7" s="243"/>
      <c r="F7" s="243"/>
      <c r="G7" s="243" t="s">
        <v>145</v>
      </c>
      <c r="H7" s="500" t="s">
        <v>234</v>
      </c>
      <c r="I7" s="347" t="s">
        <v>252</v>
      </c>
      <c r="J7" s="243" t="s">
        <v>230</v>
      </c>
      <c r="K7" s="243" t="s">
        <v>229</v>
      </c>
    </row>
    <row r="8" spans="1:11" ht="12.75">
      <c r="A8" s="3" t="s">
        <v>33</v>
      </c>
      <c r="B8" s="243" t="s">
        <v>57</v>
      </c>
      <c r="C8" s="454"/>
      <c r="D8" s="502"/>
      <c r="E8" s="243"/>
      <c r="F8" s="243" t="s">
        <v>59</v>
      </c>
      <c r="G8" s="243" t="s">
        <v>31</v>
      </c>
      <c r="H8" s="501"/>
      <c r="I8" s="497" t="s">
        <v>253</v>
      </c>
      <c r="J8" s="243" t="s">
        <v>26</v>
      </c>
      <c r="K8" s="243" t="s">
        <v>26</v>
      </c>
    </row>
    <row r="9" spans="1:11" ht="13.5" thickBot="1">
      <c r="A9" s="7" t="s">
        <v>132</v>
      </c>
      <c r="B9" s="245" t="s">
        <v>151</v>
      </c>
      <c r="C9" s="455"/>
      <c r="D9" s="482"/>
      <c r="E9" s="245" t="s">
        <v>53</v>
      </c>
      <c r="F9" s="245" t="s">
        <v>60</v>
      </c>
      <c r="G9" s="245" t="s">
        <v>146</v>
      </c>
      <c r="H9" s="482"/>
      <c r="I9" s="498"/>
      <c r="J9" s="245" t="s">
        <v>64</v>
      </c>
      <c r="K9" s="245" t="s">
        <v>64</v>
      </c>
    </row>
    <row r="10" spans="1:12" s="16" customFormat="1" ht="12.75">
      <c r="A10" s="47" t="s">
        <v>0</v>
      </c>
      <c r="B10" s="253">
        <f aca="true" t="shared" si="0" ref="B10:G10">SUM(B12:B39)</f>
        <v>171135622.47999996</v>
      </c>
      <c r="C10" s="253">
        <f t="shared" si="0"/>
        <v>5839720.820000001</v>
      </c>
      <c r="D10" s="253">
        <f t="shared" si="0"/>
        <v>121443.47</v>
      </c>
      <c r="E10" s="253">
        <f t="shared" si="0"/>
        <v>466801.06999999995</v>
      </c>
      <c r="F10" s="253">
        <f t="shared" si="0"/>
        <v>812945.0199999999</v>
      </c>
      <c r="G10" s="253">
        <f t="shared" si="0"/>
        <v>764874.3800000001</v>
      </c>
      <c r="H10" s="253">
        <f>SUM(H12:H39)</f>
        <v>4544367.220000001</v>
      </c>
      <c r="I10" s="253">
        <f>SUM(I12:I39)</f>
        <v>82232186.07</v>
      </c>
      <c r="J10" s="253">
        <f>SUM(J12:J39)</f>
        <v>1837304.9700000002</v>
      </c>
      <c r="K10" s="253">
        <f>SUM(K12:K39)</f>
        <v>268006.62999999995</v>
      </c>
      <c r="L10" s="3"/>
    </row>
    <row r="11" spans="1:11" ht="12.75">
      <c r="A11" s="3"/>
      <c r="B11" s="256"/>
      <c r="C11" s="256"/>
      <c r="D11" s="256"/>
      <c r="E11" s="256"/>
      <c r="F11" s="256"/>
      <c r="G11" s="256"/>
      <c r="H11" s="256"/>
      <c r="I11" s="256"/>
      <c r="J11" s="254"/>
      <c r="K11" s="254"/>
    </row>
    <row r="12" spans="1:12" ht="12.75">
      <c r="A12" s="3" t="s">
        <v>1</v>
      </c>
      <c r="B12" s="154">
        <v>2394302.73</v>
      </c>
      <c r="C12" s="154">
        <v>0</v>
      </c>
      <c r="D12" s="383">
        <v>1867</v>
      </c>
      <c r="E12" s="383">
        <v>0</v>
      </c>
      <c r="F12" s="154">
        <v>0</v>
      </c>
      <c r="G12" s="154">
        <v>0</v>
      </c>
      <c r="H12" s="154">
        <v>0</v>
      </c>
      <c r="I12" s="154">
        <v>703265.63</v>
      </c>
      <c r="J12" s="154">
        <v>24828.54</v>
      </c>
      <c r="K12" s="154">
        <v>0</v>
      </c>
      <c r="L12" s="86"/>
    </row>
    <row r="13" spans="1:12" ht="12.75">
      <c r="A13" s="3" t="s">
        <v>2</v>
      </c>
      <c r="B13" s="154">
        <v>9126276.219999999</v>
      </c>
      <c r="C13" s="154">
        <v>0</v>
      </c>
      <c r="D13" s="383">
        <v>17086.53</v>
      </c>
      <c r="E13" s="383">
        <v>0</v>
      </c>
      <c r="F13" s="154">
        <v>0</v>
      </c>
      <c r="G13" s="154">
        <v>0</v>
      </c>
      <c r="H13" s="154">
        <v>0</v>
      </c>
      <c r="I13" s="154">
        <v>1190757.47</v>
      </c>
      <c r="J13" s="154">
        <v>76494.44</v>
      </c>
      <c r="K13" s="154">
        <v>0</v>
      </c>
      <c r="L13" s="86"/>
    </row>
    <row r="14" spans="1:12" s="23" customFormat="1" ht="12.75">
      <c r="A14" s="32" t="s">
        <v>3</v>
      </c>
      <c r="B14" s="154">
        <v>60181142.39</v>
      </c>
      <c r="C14" s="383">
        <v>3167642.5700000003</v>
      </c>
      <c r="D14" s="383">
        <v>32244.68</v>
      </c>
      <c r="E14" s="383">
        <v>0</v>
      </c>
      <c r="F14" s="154">
        <v>203084</v>
      </c>
      <c r="G14" s="154">
        <v>313858.45</v>
      </c>
      <c r="H14" s="358">
        <v>1133859.29</v>
      </c>
      <c r="I14" s="358">
        <v>40347325.71</v>
      </c>
      <c r="J14" s="154">
        <v>455985.05000000005</v>
      </c>
      <c r="K14" s="154">
        <v>0</v>
      </c>
      <c r="L14" s="82"/>
    </row>
    <row r="15" spans="1:12" ht="12.75">
      <c r="A15" s="3" t="s">
        <v>4</v>
      </c>
      <c r="B15" s="154">
        <v>22118323.58</v>
      </c>
      <c r="C15" s="154">
        <v>314844.94</v>
      </c>
      <c r="D15" s="383">
        <v>12896.99</v>
      </c>
      <c r="E15" s="383">
        <v>0</v>
      </c>
      <c r="F15" s="154">
        <v>0</v>
      </c>
      <c r="G15" s="154">
        <v>113091.85</v>
      </c>
      <c r="H15" s="154">
        <v>0</v>
      </c>
      <c r="I15" s="154">
        <v>4788662.9</v>
      </c>
      <c r="J15" s="154">
        <v>137701.16</v>
      </c>
      <c r="K15" s="154">
        <v>0</v>
      </c>
      <c r="L15" s="86"/>
    </row>
    <row r="16" spans="1:12" ht="12.75">
      <c r="A16" s="3" t="s">
        <v>5</v>
      </c>
      <c r="B16" s="154">
        <v>1070853.55</v>
      </c>
      <c r="C16" s="154">
        <v>0</v>
      </c>
      <c r="D16" s="383">
        <v>0</v>
      </c>
      <c r="E16" s="383">
        <v>0</v>
      </c>
      <c r="F16" s="154">
        <v>203521.56999999998</v>
      </c>
      <c r="G16" s="154">
        <v>0</v>
      </c>
      <c r="H16" s="154">
        <v>0</v>
      </c>
      <c r="I16" s="154">
        <v>549816.4</v>
      </c>
      <c r="J16" s="358">
        <v>0</v>
      </c>
      <c r="K16" s="358">
        <v>31498.48</v>
      </c>
      <c r="L16" s="86"/>
    </row>
    <row r="17" spans="1:12" ht="12.75">
      <c r="A17" s="3"/>
      <c r="B17" s="154"/>
      <c r="C17" s="383"/>
      <c r="D17" s="383"/>
      <c r="E17" s="154"/>
      <c r="F17" s="154"/>
      <c r="G17" s="154"/>
      <c r="H17" s="154"/>
      <c r="I17" s="154"/>
      <c r="J17" s="153"/>
      <c r="K17" s="153"/>
      <c r="L17" s="86"/>
    </row>
    <row r="18" spans="1:12" ht="12.75">
      <c r="A18" s="3" t="s">
        <v>6</v>
      </c>
      <c r="B18" s="154">
        <v>1046856.6</v>
      </c>
      <c r="C18" s="154">
        <v>0</v>
      </c>
      <c r="D18" s="383">
        <v>1867</v>
      </c>
      <c r="E18" s="383">
        <v>0</v>
      </c>
      <c r="F18" s="154">
        <v>0</v>
      </c>
      <c r="G18" s="154">
        <v>0</v>
      </c>
      <c r="H18" s="154">
        <v>0</v>
      </c>
      <c r="I18" s="154">
        <v>217704.22</v>
      </c>
      <c r="J18" s="358">
        <v>0</v>
      </c>
      <c r="K18" s="358">
        <v>18777.96</v>
      </c>
      <c r="L18" s="86"/>
    </row>
    <row r="19" spans="1:12" ht="12.75">
      <c r="A19" s="3" t="s">
        <v>7</v>
      </c>
      <c r="B19" s="154">
        <v>1104110.94</v>
      </c>
      <c r="C19" s="154">
        <v>0</v>
      </c>
      <c r="D19" s="392">
        <v>3734</v>
      </c>
      <c r="E19" s="383">
        <v>0</v>
      </c>
      <c r="F19" s="154">
        <v>0</v>
      </c>
      <c r="G19" s="154">
        <v>0</v>
      </c>
      <c r="H19" s="154">
        <v>0</v>
      </c>
      <c r="I19" s="154">
        <v>0</v>
      </c>
      <c r="J19" s="358">
        <v>0</v>
      </c>
      <c r="K19" s="154">
        <v>0</v>
      </c>
      <c r="L19" s="86"/>
    </row>
    <row r="20" spans="1:12" ht="12.75">
      <c r="A20" s="3" t="s">
        <v>8</v>
      </c>
      <c r="B20" s="154">
        <v>2330175.35</v>
      </c>
      <c r="C20" s="154">
        <v>0</v>
      </c>
      <c r="D20" s="383">
        <v>3734</v>
      </c>
      <c r="E20" s="383">
        <v>0</v>
      </c>
      <c r="F20" s="154">
        <v>0</v>
      </c>
      <c r="G20" s="154">
        <v>0</v>
      </c>
      <c r="H20" s="154">
        <v>0</v>
      </c>
      <c r="I20" s="154">
        <v>941629.23</v>
      </c>
      <c r="J20" s="154">
        <v>165243.66000000003</v>
      </c>
      <c r="K20" s="154">
        <v>183653.24</v>
      </c>
      <c r="L20" s="86"/>
    </row>
    <row r="21" spans="1:12" ht="12.75">
      <c r="A21" s="3" t="s">
        <v>9</v>
      </c>
      <c r="B21" s="154">
        <v>2127639.98</v>
      </c>
      <c r="C21" s="154">
        <v>0</v>
      </c>
      <c r="D21" s="383">
        <v>0</v>
      </c>
      <c r="E21" s="383">
        <v>0</v>
      </c>
      <c r="F21" s="154">
        <v>0</v>
      </c>
      <c r="G21" s="154">
        <v>0</v>
      </c>
      <c r="H21" s="154">
        <v>0</v>
      </c>
      <c r="I21" s="154">
        <v>581428.49</v>
      </c>
      <c r="J21" s="154">
        <v>5013.56</v>
      </c>
      <c r="K21" s="154">
        <v>0</v>
      </c>
      <c r="L21" s="86"/>
    </row>
    <row r="22" spans="1:12" ht="12.75">
      <c r="A22" s="3" t="s">
        <v>10</v>
      </c>
      <c r="B22" s="154">
        <v>1184166.59</v>
      </c>
      <c r="C22" s="383">
        <v>161221.91</v>
      </c>
      <c r="D22" s="383">
        <v>0</v>
      </c>
      <c r="E22" s="358">
        <v>85646</v>
      </c>
      <c r="F22" s="154">
        <v>0</v>
      </c>
      <c r="G22" s="154">
        <v>0</v>
      </c>
      <c r="H22" s="154">
        <v>0</v>
      </c>
      <c r="I22" s="154">
        <v>17483.62</v>
      </c>
      <c r="J22" s="154">
        <v>3146.25</v>
      </c>
      <c r="K22" s="154">
        <v>18026.11</v>
      </c>
      <c r="L22" s="86"/>
    </row>
    <row r="23" spans="1:12" ht="12.75">
      <c r="A23" s="3"/>
      <c r="B23" s="154"/>
      <c r="C23" s="383"/>
      <c r="D23" s="383"/>
      <c r="E23" s="154"/>
      <c r="F23" s="154"/>
      <c r="G23" s="154"/>
      <c r="H23" s="154"/>
      <c r="I23" s="154"/>
      <c r="J23" s="154"/>
      <c r="K23" s="154"/>
      <c r="L23" s="86"/>
    </row>
    <row r="24" spans="1:12" ht="12.75">
      <c r="A24" s="3" t="s">
        <v>11</v>
      </c>
      <c r="B24" s="154">
        <v>3204510.92</v>
      </c>
      <c r="C24" s="383">
        <v>0</v>
      </c>
      <c r="D24" s="383">
        <v>3704.65</v>
      </c>
      <c r="E24" s="383">
        <v>0</v>
      </c>
      <c r="F24" s="154">
        <v>0</v>
      </c>
      <c r="G24" s="154">
        <v>0</v>
      </c>
      <c r="H24" s="154">
        <v>0</v>
      </c>
      <c r="I24" s="154">
        <v>1096454.84</v>
      </c>
      <c r="J24" s="154">
        <v>2216.65</v>
      </c>
      <c r="K24" s="154">
        <v>0</v>
      </c>
      <c r="L24" s="86"/>
    </row>
    <row r="25" spans="1:12" ht="12.75">
      <c r="A25" s="3" t="s">
        <v>12</v>
      </c>
      <c r="B25" s="154">
        <v>1241776.33</v>
      </c>
      <c r="C25" s="383">
        <v>0</v>
      </c>
      <c r="D25" s="383">
        <v>3734</v>
      </c>
      <c r="E25" s="383">
        <v>0</v>
      </c>
      <c r="F25" s="154">
        <v>0</v>
      </c>
      <c r="G25" s="154">
        <v>0</v>
      </c>
      <c r="H25" s="154">
        <v>0</v>
      </c>
      <c r="I25" s="154">
        <v>94195.59</v>
      </c>
      <c r="J25" s="154">
        <v>0</v>
      </c>
      <c r="K25" s="154">
        <v>5056.43</v>
      </c>
      <c r="L25" s="86"/>
    </row>
    <row r="26" spans="1:12" ht="12.75">
      <c r="A26" s="3" t="s">
        <v>13</v>
      </c>
      <c r="B26" s="358">
        <v>3550391.5599999996</v>
      </c>
      <c r="C26" s="383">
        <v>197582.87</v>
      </c>
      <c r="D26" s="383">
        <v>1867</v>
      </c>
      <c r="E26" s="383">
        <v>0</v>
      </c>
      <c r="F26" s="154">
        <v>0</v>
      </c>
      <c r="G26" s="154">
        <v>0</v>
      </c>
      <c r="H26" s="154">
        <v>0</v>
      </c>
      <c r="I26" s="154">
        <v>1253446.75</v>
      </c>
      <c r="J26" s="154">
        <v>11138.73</v>
      </c>
      <c r="K26" s="154">
        <v>0</v>
      </c>
      <c r="L26" s="86"/>
    </row>
    <row r="27" spans="1:12" ht="12.75">
      <c r="A27" s="3" t="s">
        <v>14</v>
      </c>
      <c r="B27" s="154">
        <v>1707545.66</v>
      </c>
      <c r="C27" s="383">
        <v>0</v>
      </c>
      <c r="D27" s="383">
        <v>0</v>
      </c>
      <c r="E27" s="383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17815.28</v>
      </c>
      <c r="K27" s="154">
        <v>0</v>
      </c>
      <c r="L27" s="86"/>
    </row>
    <row r="28" spans="1:12" ht="12.75">
      <c r="A28" s="3" t="s">
        <v>15</v>
      </c>
      <c r="B28" s="154">
        <v>473106.74</v>
      </c>
      <c r="C28" s="383">
        <v>0</v>
      </c>
      <c r="D28" s="383">
        <v>0</v>
      </c>
      <c r="E28" s="383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86"/>
    </row>
    <row r="29" spans="1:12" ht="12.75">
      <c r="A29" s="3"/>
      <c r="B29" s="154"/>
      <c r="C29" s="383"/>
      <c r="D29" s="383"/>
      <c r="E29" s="154"/>
      <c r="F29" s="172"/>
      <c r="G29" s="154"/>
      <c r="H29" s="154"/>
      <c r="I29" s="154"/>
      <c r="J29" s="154"/>
      <c r="K29" s="154"/>
      <c r="L29" s="86"/>
    </row>
    <row r="30" spans="1:12" ht="12.75">
      <c r="A30" s="3" t="s">
        <v>16</v>
      </c>
      <c r="B30" s="154">
        <v>17345919.05</v>
      </c>
      <c r="C30" s="358">
        <v>0</v>
      </c>
      <c r="D30" s="358">
        <v>7468</v>
      </c>
      <c r="E30" s="383">
        <v>0</v>
      </c>
      <c r="F30" s="154">
        <v>0</v>
      </c>
      <c r="G30" s="154">
        <v>162768.51</v>
      </c>
      <c r="H30" s="154">
        <v>0</v>
      </c>
      <c r="I30" s="154">
        <v>5955283.42</v>
      </c>
      <c r="J30" s="154">
        <v>583831.2899999999</v>
      </c>
      <c r="K30" s="154">
        <v>0</v>
      </c>
      <c r="L30" s="86"/>
    </row>
    <row r="31" spans="1:12" ht="12.75">
      <c r="A31" s="3" t="s">
        <v>17</v>
      </c>
      <c r="B31" s="154">
        <v>26691836.07</v>
      </c>
      <c r="C31" s="383">
        <v>1996480</v>
      </c>
      <c r="D31" s="383">
        <v>14797.08</v>
      </c>
      <c r="E31" s="383">
        <v>0</v>
      </c>
      <c r="F31" s="154">
        <v>194168.84999999998</v>
      </c>
      <c r="G31" s="358">
        <v>0</v>
      </c>
      <c r="H31" s="154">
        <v>3410507.93</v>
      </c>
      <c r="I31" s="154">
        <v>20784000.99</v>
      </c>
      <c r="J31" s="154">
        <v>154458.47</v>
      </c>
      <c r="K31" s="154">
        <v>0</v>
      </c>
      <c r="L31" s="86"/>
    </row>
    <row r="32" spans="1:12" s="55" customFormat="1" ht="12.75">
      <c r="A32" s="54" t="s">
        <v>18</v>
      </c>
      <c r="B32" s="358">
        <v>593136.17</v>
      </c>
      <c r="C32" s="383">
        <v>1948.53</v>
      </c>
      <c r="D32" s="383">
        <v>3734</v>
      </c>
      <c r="E32" s="154">
        <v>241283.21</v>
      </c>
      <c r="F32" s="358">
        <v>212170.6</v>
      </c>
      <c r="G32" s="358">
        <v>0</v>
      </c>
      <c r="H32" s="154">
        <v>0</v>
      </c>
      <c r="I32" s="154">
        <v>118294.69</v>
      </c>
      <c r="J32" s="154">
        <v>0</v>
      </c>
      <c r="K32" s="154">
        <v>6258</v>
      </c>
      <c r="L32" s="353"/>
    </row>
    <row r="33" spans="1:12" ht="12.75">
      <c r="A33" s="3" t="s">
        <v>19</v>
      </c>
      <c r="B33" s="154">
        <v>2282120.37</v>
      </c>
      <c r="C33" s="383">
        <v>0</v>
      </c>
      <c r="D33" s="383">
        <v>1720.55</v>
      </c>
      <c r="E33" s="383">
        <v>0</v>
      </c>
      <c r="F33" s="154">
        <v>0</v>
      </c>
      <c r="G33" s="154">
        <v>0</v>
      </c>
      <c r="H33" s="154">
        <v>0</v>
      </c>
      <c r="I33" s="154">
        <v>305653.08</v>
      </c>
      <c r="J33" s="154">
        <v>15510.02</v>
      </c>
      <c r="K33" s="154">
        <v>0</v>
      </c>
      <c r="L33" s="86"/>
    </row>
    <row r="34" spans="1:12" ht="12.75">
      <c r="A34" s="3" t="s">
        <v>20</v>
      </c>
      <c r="B34" s="154">
        <v>1369072.5999999999</v>
      </c>
      <c r="C34" s="383">
        <v>0</v>
      </c>
      <c r="D34" s="383">
        <v>1867</v>
      </c>
      <c r="E34" s="154">
        <v>139871.86000000002</v>
      </c>
      <c r="F34" s="154">
        <v>0</v>
      </c>
      <c r="G34" s="154">
        <v>0</v>
      </c>
      <c r="H34" s="154">
        <v>0</v>
      </c>
      <c r="I34" s="154">
        <v>314354.73</v>
      </c>
      <c r="J34" s="154">
        <v>51575.53</v>
      </c>
      <c r="K34" s="154">
        <v>0</v>
      </c>
      <c r="L34" s="86"/>
    </row>
    <row r="35" spans="1:12" ht="12.75">
      <c r="A35" s="3"/>
      <c r="B35" s="154"/>
      <c r="C35" s="383"/>
      <c r="D35" s="383"/>
      <c r="E35" s="154"/>
      <c r="F35" s="154"/>
      <c r="G35" s="154"/>
      <c r="H35" s="154"/>
      <c r="I35" s="154"/>
      <c r="J35" s="154"/>
      <c r="K35" s="154"/>
      <c r="L35" s="86"/>
    </row>
    <row r="36" spans="1:12" ht="12.75">
      <c r="A36" s="3" t="s">
        <v>21</v>
      </c>
      <c r="B36" s="154">
        <v>725282.75</v>
      </c>
      <c r="C36" s="383">
        <v>0</v>
      </c>
      <c r="D36" s="383">
        <v>1833.99</v>
      </c>
      <c r="E36" s="383">
        <v>0</v>
      </c>
      <c r="F36" s="154">
        <v>0</v>
      </c>
      <c r="G36" s="154">
        <v>0</v>
      </c>
      <c r="H36" s="154">
        <v>0</v>
      </c>
      <c r="I36" s="154">
        <v>3196.24</v>
      </c>
      <c r="J36" s="154">
        <v>0</v>
      </c>
      <c r="K36" s="154">
        <v>4607.67</v>
      </c>
      <c r="L36" s="86"/>
    </row>
    <row r="37" spans="1:12" ht="12.75">
      <c r="A37" s="3" t="s">
        <v>22</v>
      </c>
      <c r="B37" s="154">
        <v>3670480.35</v>
      </c>
      <c r="C37" s="154">
        <v>0</v>
      </c>
      <c r="D37" s="383">
        <v>1688</v>
      </c>
      <c r="E37" s="154">
        <v>0</v>
      </c>
      <c r="F37" s="154">
        <v>0</v>
      </c>
      <c r="G37" s="154">
        <v>175155.57</v>
      </c>
      <c r="H37" s="154">
        <v>0</v>
      </c>
      <c r="I37" s="154">
        <v>1637964.16</v>
      </c>
      <c r="J37" s="154">
        <v>66448.20999999999</v>
      </c>
      <c r="K37" s="154">
        <v>0</v>
      </c>
      <c r="L37" s="86"/>
    </row>
    <row r="38" spans="1:12" ht="12.75">
      <c r="A38" s="3" t="s">
        <v>23</v>
      </c>
      <c r="B38" s="154">
        <v>3943787.2199999997</v>
      </c>
      <c r="C38" s="154">
        <v>0</v>
      </c>
      <c r="D38" s="383">
        <v>1865</v>
      </c>
      <c r="E38" s="154">
        <v>0</v>
      </c>
      <c r="F38" s="154">
        <v>0</v>
      </c>
      <c r="G38" s="154">
        <v>0</v>
      </c>
      <c r="H38" s="154">
        <v>0</v>
      </c>
      <c r="I38" s="154">
        <v>1207690.36</v>
      </c>
      <c r="J38" s="154">
        <v>39046.06</v>
      </c>
      <c r="K38" s="154">
        <v>0</v>
      </c>
      <c r="L38" s="86"/>
    </row>
    <row r="39" spans="1:12" ht="12.75">
      <c r="A39" s="12" t="s">
        <v>24</v>
      </c>
      <c r="B39" s="155">
        <v>1652808.76</v>
      </c>
      <c r="C39" s="155">
        <v>0</v>
      </c>
      <c r="D39" s="393">
        <v>3734</v>
      </c>
      <c r="E39" s="155">
        <v>0</v>
      </c>
      <c r="F39" s="155">
        <v>0</v>
      </c>
      <c r="G39" s="155">
        <v>0</v>
      </c>
      <c r="H39" s="155">
        <v>0</v>
      </c>
      <c r="I39" s="155">
        <v>123577.55</v>
      </c>
      <c r="J39" s="155">
        <v>26852.07</v>
      </c>
      <c r="K39" s="155">
        <v>128.74</v>
      </c>
      <c r="L39" s="79"/>
    </row>
    <row r="40" spans="1:12" ht="12.75">
      <c r="A40" s="3"/>
      <c r="B40" s="32"/>
      <c r="C40" s="32"/>
      <c r="D40" s="32"/>
      <c r="E40" s="32"/>
      <c r="F40" s="32"/>
      <c r="G40" s="32"/>
      <c r="H40" s="32"/>
      <c r="I40" s="32"/>
      <c r="J40" s="49"/>
      <c r="K40" s="49"/>
      <c r="L40" s="15"/>
    </row>
    <row r="41" spans="1:12" ht="12.75">
      <c r="A41" s="3"/>
      <c r="B41" s="3"/>
      <c r="C41" s="3"/>
      <c r="D41" s="3"/>
      <c r="E41" s="3"/>
      <c r="F41" s="3"/>
      <c r="G41" s="3"/>
      <c r="H41" s="226"/>
      <c r="I41" s="226"/>
      <c r="J41" s="228"/>
      <c r="K41" s="228"/>
      <c r="L41" s="15"/>
    </row>
    <row r="42" spans="1:12" ht="12.75">
      <c r="A42" s="3"/>
      <c r="B42" s="3"/>
      <c r="C42" s="3"/>
      <c r="D42" s="3"/>
      <c r="E42" s="3"/>
      <c r="F42" s="3"/>
      <c r="G42" s="3"/>
      <c r="H42" s="226"/>
      <c r="I42" s="226"/>
      <c r="J42" s="228"/>
      <c r="K42" s="228"/>
      <c r="L42" s="15"/>
    </row>
    <row r="43" spans="1:12" ht="12.75">
      <c r="A43" s="3"/>
      <c r="B43" s="3"/>
      <c r="C43" s="3"/>
      <c r="D43" s="3"/>
      <c r="E43" s="3"/>
      <c r="F43" s="3"/>
      <c r="G43" s="3"/>
      <c r="H43" s="226"/>
      <c r="I43" s="226"/>
      <c r="J43" s="228"/>
      <c r="K43" s="228"/>
      <c r="L43" s="15"/>
    </row>
    <row r="44" spans="1:12" ht="12.75">
      <c r="A44" s="3"/>
      <c r="B44" s="3"/>
      <c r="C44" s="3"/>
      <c r="D44" s="3"/>
      <c r="E44" s="3"/>
      <c r="F44" s="3"/>
      <c r="G44" s="3"/>
      <c r="H44" s="226"/>
      <c r="I44" s="226"/>
      <c r="J44" s="228"/>
      <c r="K44" s="228"/>
      <c r="L44" s="15"/>
    </row>
    <row r="45" spans="1:12" ht="12.75">
      <c r="A45" s="3"/>
      <c r="B45" s="3"/>
      <c r="C45" s="3"/>
      <c r="D45" s="3"/>
      <c r="E45" s="3"/>
      <c r="F45" s="3"/>
      <c r="G45" s="3"/>
      <c r="H45" s="226"/>
      <c r="I45" s="226"/>
      <c r="J45" s="228"/>
      <c r="K45" s="228"/>
      <c r="L45" s="15"/>
    </row>
    <row r="46" spans="1:12" ht="12.75">
      <c r="A46" s="3"/>
      <c r="B46" s="3"/>
      <c r="C46" s="3"/>
      <c r="D46" s="3"/>
      <c r="E46" s="3"/>
      <c r="F46" s="3"/>
      <c r="G46" s="3"/>
      <c r="H46" s="226"/>
      <c r="I46" s="226"/>
      <c r="J46" s="228"/>
      <c r="K46" s="228"/>
      <c r="L46" s="15"/>
    </row>
    <row r="47" spans="1:12" ht="12.75">
      <c r="A47" s="3"/>
      <c r="B47" s="3"/>
      <c r="C47" s="3"/>
      <c r="D47" s="3"/>
      <c r="E47" s="3"/>
      <c r="F47" s="3"/>
      <c r="G47" s="3"/>
      <c r="H47" s="226"/>
      <c r="I47" s="226"/>
      <c r="J47" s="228"/>
      <c r="K47" s="228"/>
      <c r="L47" s="15"/>
    </row>
    <row r="48" spans="1:12" ht="12.75">
      <c r="A48" s="3"/>
      <c r="B48" s="3"/>
      <c r="C48" s="3"/>
      <c r="D48" s="3"/>
      <c r="E48" s="3"/>
      <c r="F48" s="3"/>
      <c r="G48" s="3"/>
      <c r="H48" s="226"/>
      <c r="I48" s="226"/>
      <c r="J48" s="228"/>
      <c r="K48" s="228"/>
      <c r="L48" s="15"/>
    </row>
    <row r="49" spans="1:12" ht="12.75">
      <c r="A49" s="3"/>
      <c r="B49" s="3"/>
      <c r="C49" s="3"/>
      <c r="D49" s="3"/>
      <c r="E49" s="3"/>
      <c r="F49" s="3"/>
      <c r="G49" s="3"/>
      <c r="H49" s="226"/>
      <c r="I49" s="226"/>
      <c r="J49" s="228"/>
      <c r="K49" s="228"/>
      <c r="L49" s="15"/>
    </row>
    <row r="50" spans="1:12" ht="12.75">
      <c r="A50" s="3"/>
      <c r="B50" s="3"/>
      <c r="C50" s="3"/>
      <c r="D50" s="3"/>
      <c r="E50" s="3"/>
      <c r="F50" s="3"/>
      <c r="G50" s="3"/>
      <c r="H50" s="226"/>
      <c r="I50" s="226"/>
      <c r="J50" s="228"/>
      <c r="K50" s="228"/>
      <c r="L50" s="15"/>
    </row>
    <row r="51" spans="1:12" ht="12.75">
      <c r="A51" s="3"/>
      <c r="B51" s="3"/>
      <c r="C51" s="3"/>
      <c r="D51" s="3"/>
      <c r="E51" s="3"/>
      <c r="F51" s="3"/>
      <c r="G51" s="3"/>
      <c r="H51" s="226"/>
      <c r="I51" s="226"/>
      <c r="J51" s="228"/>
      <c r="K51" s="228"/>
      <c r="L51" s="15"/>
    </row>
    <row r="52" spans="1:12" ht="12.75">
      <c r="A52" s="3"/>
      <c r="B52" s="3"/>
      <c r="C52" s="3"/>
      <c r="D52" s="3"/>
      <c r="E52" s="3"/>
      <c r="F52" s="3"/>
      <c r="G52" s="3"/>
      <c r="H52" s="226"/>
      <c r="I52" s="226"/>
      <c r="J52" s="228"/>
      <c r="K52" s="228"/>
      <c r="L52" s="15"/>
    </row>
    <row r="53" spans="1:12" ht="12.75">
      <c r="A53" s="3"/>
      <c r="B53" s="3"/>
      <c r="C53" s="3"/>
      <c r="D53" s="3"/>
      <c r="E53" s="3"/>
      <c r="F53" s="3"/>
      <c r="G53" s="3"/>
      <c r="H53" s="226"/>
      <c r="I53" s="226"/>
      <c r="J53" s="228"/>
      <c r="K53" s="228"/>
      <c r="L53" s="15"/>
    </row>
    <row r="54" spans="1:12" ht="12.75">
      <c r="A54" s="3"/>
      <c r="B54" s="3"/>
      <c r="C54" s="3"/>
      <c r="D54" s="3"/>
      <c r="E54" s="3"/>
      <c r="F54" s="3"/>
      <c r="G54" s="3"/>
      <c r="H54" s="226"/>
      <c r="I54" s="226"/>
      <c r="J54" s="228"/>
      <c r="K54" s="228"/>
      <c r="L54" s="15"/>
    </row>
    <row r="55" spans="1:12" ht="12.75">
      <c r="A55" s="3"/>
      <c r="B55" s="3"/>
      <c r="C55" s="3"/>
      <c r="D55" s="3"/>
      <c r="E55" s="3"/>
      <c r="F55" s="3"/>
      <c r="G55" s="3"/>
      <c r="H55" s="226"/>
      <c r="I55" s="226"/>
      <c r="J55" s="228"/>
      <c r="K55" s="228"/>
      <c r="L55" s="15"/>
    </row>
    <row r="56" spans="1:12" ht="12.75">
      <c r="A56" s="3"/>
      <c r="B56" s="3"/>
      <c r="C56" s="3"/>
      <c r="D56" s="3"/>
      <c r="E56" s="3"/>
      <c r="F56" s="3"/>
      <c r="G56" s="3"/>
      <c r="H56" s="226"/>
      <c r="I56" s="226"/>
      <c r="J56" s="228"/>
      <c r="K56" s="228"/>
      <c r="L56" s="15"/>
    </row>
    <row r="57" spans="1:12" ht="12.75">
      <c r="A57" s="3"/>
      <c r="B57" s="3"/>
      <c r="C57" s="3"/>
      <c r="D57" s="3"/>
      <c r="E57" s="3"/>
      <c r="F57" s="3"/>
      <c r="G57" s="3"/>
      <c r="H57" s="226"/>
      <c r="I57" s="226"/>
      <c r="J57" s="228"/>
      <c r="K57" s="228"/>
      <c r="L57" s="15"/>
    </row>
    <row r="58" spans="1:12" ht="12.75">
      <c r="A58" s="3"/>
      <c r="B58" s="3"/>
      <c r="C58" s="3"/>
      <c r="D58" s="3"/>
      <c r="E58" s="3"/>
      <c r="F58" s="3"/>
      <c r="G58" s="3"/>
      <c r="H58" s="226"/>
      <c r="I58" s="226"/>
      <c r="J58" s="228"/>
      <c r="K58" s="228"/>
      <c r="L58" s="15"/>
    </row>
    <row r="59" spans="1:12" ht="12.75">
      <c r="A59" s="3"/>
      <c r="B59" s="3"/>
      <c r="C59" s="3"/>
      <c r="D59" s="3"/>
      <c r="E59" s="3"/>
      <c r="F59" s="3"/>
      <c r="G59" s="3"/>
      <c r="H59" s="226"/>
      <c r="I59" s="226"/>
      <c r="J59" s="228"/>
      <c r="K59" s="228"/>
      <c r="L59" s="15"/>
    </row>
    <row r="60" spans="1:11" ht="12.75">
      <c r="A60" s="3"/>
      <c r="B60" s="3"/>
      <c r="C60" s="3"/>
      <c r="D60" s="3"/>
      <c r="E60" s="3"/>
      <c r="F60" s="3"/>
      <c r="G60" s="3"/>
      <c r="H60" s="226"/>
      <c r="I60" s="226"/>
      <c r="J60" s="228"/>
      <c r="K60" s="228"/>
    </row>
    <row r="61" spans="1:9" ht="12.75">
      <c r="A61" s="3"/>
      <c r="B61" s="3"/>
      <c r="C61" s="3"/>
      <c r="D61" s="3"/>
      <c r="E61" s="3"/>
      <c r="F61" s="3"/>
      <c r="G61" s="3"/>
      <c r="H61" s="226"/>
      <c r="I61" s="226"/>
    </row>
    <row r="62" spans="1:9" ht="12.75">
      <c r="A62" s="3"/>
      <c r="B62" s="3"/>
      <c r="C62" s="3"/>
      <c r="D62" s="3"/>
      <c r="E62" s="3"/>
      <c r="F62" s="3"/>
      <c r="G62" s="3"/>
      <c r="H62" s="226"/>
      <c r="I62" s="226"/>
    </row>
    <row r="63" spans="1:9" ht="12.75">
      <c r="A63" s="3"/>
      <c r="B63" s="3"/>
      <c r="C63" s="3"/>
      <c r="D63" s="3"/>
      <c r="E63" s="3"/>
      <c r="F63" s="3"/>
      <c r="G63" s="3"/>
      <c r="H63" s="226"/>
      <c r="I63" s="226"/>
    </row>
    <row r="64" spans="1:9" ht="12.75">
      <c r="A64" s="3"/>
      <c r="B64" s="3"/>
      <c r="C64" s="3"/>
      <c r="D64" s="3"/>
      <c r="E64" s="3"/>
      <c r="F64" s="3"/>
      <c r="G64" s="3"/>
      <c r="H64" s="226"/>
      <c r="I64" s="226"/>
    </row>
    <row r="65" spans="1:9" ht="12.75">
      <c r="A65" s="3"/>
      <c r="B65" s="3"/>
      <c r="C65" s="3"/>
      <c r="D65" s="3"/>
      <c r="E65" s="3"/>
      <c r="F65" s="3"/>
      <c r="G65" s="3"/>
      <c r="H65" s="226"/>
      <c r="I65" s="226"/>
    </row>
    <row r="66" spans="1:9" ht="12.75">
      <c r="A66" s="3"/>
      <c r="B66" s="3"/>
      <c r="C66" s="3"/>
      <c r="D66" s="3"/>
      <c r="E66" s="3"/>
      <c r="F66" s="3"/>
      <c r="G66" s="3"/>
      <c r="H66" s="226"/>
      <c r="I66" s="226"/>
    </row>
    <row r="67" spans="1:9" ht="12.75">
      <c r="A67" s="3"/>
      <c r="B67" s="3"/>
      <c r="C67" s="3"/>
      <c r="D67" s="3"/>
      <c r="E67" s="3"/>
      <c r="F67" s="3"/>
      <c r="G67" s="3"/>
      <c r="H67" s="226"/>
      <c r="I67" s="226"/>
    </row>
    <row r="68" spans="1:9" ht="12.75">
      <c r="A68" s="3"/>
      <c r="B68" s="3"/>
      <c r="C68" s="3"/>
      <c r="D68" s="3"/>
      <c r="E68" s="3"/>
      <c r="F68" s="3"/>
      <c r="G68" s="3"/>
      <c r="H68" s="226"/>
      <c r="I68" s="226"/>
    </row>
    <row r="69" spans="1:9" ht="12.75">
      <c r="A69" s="3"/>
      <c r="B69" s="3"/>
      <c r="C69" s="3"/>
      <c r="D69" s="3"/>
      <c r="E69" s="3"/>
      <c r="F69" s="3"/>
      <c r="G69" s="3"/>
      <c r="H69" s="226"/>
      <c r="I69" s="226"/>
    </row>
    <row r="70" spans="1:9" ht="12.75">
      <c r="A70" s="3"/>
      <c r="B70" s="3"/>
      <c r="C70" s="3"/>
      <c r="D70" s="3"/>
      <c r="E70" s="3"/>
      <c r="F70" s="3"/>
      <c r="G70" s="3"/>
      <c r="H70" s="226"/>
      <c r="I70" s="226"/>
    </row>
    <row r="71" spans="1:9" ht="12.75">
      <c r="A71" s="3"/>
      <c r="B71" s="3"/>
      <c r="C71" s="3"/>
      <c r="D71" s="3"/>
      <c r="E71" s="3"/>
      <c r="F71" s="3"/>
      <c r="G71" s="3"/>
      <c r="H71" s="226"/>
      <c r="I71" s="226"/>
    </row>
    <row r="72" spans="1:9" ht="12.75">
      <c r="A72" s="3"/>
      <c r="B72" s="3"/>
      <c r="C72" s="3"/>
      <c r="D72" s="3"/>
      <c r="E72" s="3"/>
      <c r="F72" s="3"/>
      <c r="G72" s="3"/>
      <c r="H72" s="226"/>
      <c r="I72" s="226"/>
    </row>
    <row r="73" spans="1:9" ht="12.75">
      <c r="A73" s="3"/>
      <c r="B73" s="3"/>
      <c r="C73" s="3"/>
      <c r="D73" s="3"/>
      <c r="E73" s="3"/>
      <c r="F73" s="3"/>
      <c r="G73" s="3"/>
      <c r="H73" s="226"/>
      <c r="I73" s="226"/>
    </row>
    <row r="74" spans="1:9" ht="12.75">
      <c r="A74" s="3"/>
      <c r="B74" s="3"/>
      <c r="C74" s="3"/>
      <c r="D74" s="3"/>
      <c r="E74" s="3"/>
      <c r="F74" s="3"/>
      <c r="G74" s="3"/>
      <c r="H74" s="226"/>
      <c r="I74" s="226"/>
    </row>
    <row r="75" spans="1:9" ht="12.75">
      <c r="A75" s="3"/>
      <c r="B75" s="3"/>
      <c r="C75" s="3"/>
      <c r="D75" s="3"/>
      <c r="E75" s="3"/>
      <c r="F75" s="3"/>
      <c r="G75" s="3"/>
      <c r="H75" s="226"/>
      <c r="I75" s="226"/>
    </row>
    <row r="76" spans="1:9" ht="12.75">
      <c r="A76" s="3"/>
      <c r="B76" s="3"/>
      <c r="C76" s="3"/>
      <c r="D76" s="3"/>
      <c r="E76" s="3"/>
      <c r="F76" s="3"/>
      <c r="G76" s="3"/>
      <c r="H76" s="226"/>
      <c r="I76" s="226"/>
    </row>
    <row r="77" spans="1:9" ht="12.75">
      <c r="A77" s="3"/>
      <c r="B77" s="3"/>
      <c r="C77" s="3"/>
      <c r="D77" s="3"/>
      <c r="E77" s="3"/>
      <c r="F77" s="3"/>
      <c r="G77" s="3"/>
      <c r="H77" s="226"/>
      <c r="I77" s="226"/>
    </row>
    <row r="78" spans="1:9" ht="12.75">
      <c r="A78" s="3"/>
      <c r="B78" s="3"/>
      <c r="C78" s="3"/>
      <c r="D78" s="3"/>
      <c r="E78" s="3"/>
      <c r="F78" s="3"/>
      <c r="G78" s="3"/>
      <c r="H78" s="226"/>
      <c r="I78" s="226"/>
    </row>
    <row r="79" spans="1:9" ht="12.75">
      <c r="A79" s="3"/>
      <c r="B79" s="3"/>
      <c r="C79" s="3"/>
      <c r="D79" s="3"/>
      <c r="E79" s="3"/>
      <c r="F79" s="3"/>
      <c r="G79" s="3"/>
      <c r="H79" s="226"/>
      <c r="I79" s="226"/>
    </row>
  </sheetData>
  <sheetProtection password="CAF5" sheet="1" objects="1" scenarios="1"/>
  <mergeCells count="7">
    <mergeCell ref="I8:I9"/>
    <mergeCell ref="A1:L1"/>
    <mergeCell ref="A3:L3"/>
    <mergeCell ref="H7:H9"/>
    <mergeCell ref="C7:C9"/>
    <mergeCell ref="D7:D9"/>
    <mergeCell ref="B6:I6"/>
  </mergeCells>
  <printOptions horizontalCentered="1"/>
  <pageMargins left="0.87" right="0.32" top="0.83" bottom="1" header="0.67" footer="0.5"/>
  <pageSetup fitToHeight="1" fitToWidth="1" horizontalDpi="600" verticalDpi="600" orientation="landscape" scale="73" r:id="rId1"/>
  <headerFooter alignWithMargins="0">
    <oddHeader>&amp;R
</oddHeader>
    <oddFooter>&amp;L&amp;"Arial,Italic"&amp;9MSDE - LFRO  11 / 2012&amp;C- 13 -&amp;R&amp;"Arial,Italic"&amp;9Selected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D7">
      <selection activeCell="L11" sqref="L11"/>
    </sheetView>
  </sheetViews>
  <sheetFormatPr defaultColWidth="9.140625" defaultRowHeight="12.75"/>
  <cols>
    <col min="1" max="3" width="14.421875" style="0" customWidth="1"/>
    <col min="4" max="5" width="17.00390625" style="250" customWidth="1"/>
    <col min="6" max="6" width="14.8515625" style="250" bestFit="1" customWidth="1"/>
    <col min="7" max="7" width="13.8515625" style="250" bestFit="1" customWidth="1"/>
    <col min="8" max="9" width="13.8515625" style="250" customWidth="1"/>
    <col min="10" max="10" width="15.00390625" style="250" bestFit="1" customWidth="1"/>
    <col min="11" max="11" width="16.28125" style="0" customWidth="1"/>
  </cols>
  <sheetData>
    <row r="1" spans="1:10" ht="12.75">
      <c r="A1" s="484" t="s">
        <v>119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5" ht="12.75">
      <c r="A2" s="3"/>
      <c r="B2" s="3"/>
      <c r="C2" s="3"/>
      <c r="D2" s="226"/>
      <c r="E2" s="226"/>
    </row>
    <row r="3" spans="1:10" ht="12.75">
      <c r="A3" s="490" t="s">
        <v>257</v>
      </c>
      <c r="B3" s="490"/>
      <c r="C3" s="490"/>
      <c r="D3" s="484"/>
      <c r="E3" s="484"/>
      <c r="F3" s="484"/>
      <c r="G3" s="484"/>
      <c r="H3" s="484"/>
      <c r="I3" s="484"/>
      <c r="J3" s="484"/>
    </row>
    <row r="4" spans="1:10" ht="13.5" thickBot="1">
      <c r="A4" s="3"/>
      <c r="B4" s="11"/>
      <c r="C4" s="11"/>
      <c r="D4" s="246"/>
      <c r="E4" s="246"/>
      <c r="F4" s="246"/>
      <c r="G4" s="246"/>
      <c r="H4" s="246"/>
      <c r="I4" s="246"/>
      <c r="J4" s="246"/>
    </row>
    <row r="5" spans="1:10" ht="15" customHeight="1" thickTop="1">
      <c r="A5" s="6"/>
      <c r="B5" s="509" t="s">
        <v>56</v>
      </c>
      <c r="C5" s="509"/>
      <c r="D5" s="509"/>
      <c r="E5" s="509"/>
      <c r="F5" s="512" t="s">
        <v>74</v>
      </c>
      <c r="G5" s="508"/>
      <c r="H5" s="513"/>
      <c r="I5" s="514" t="s">
        <v>254</v>
      </c>
      <c r="J5" s="510" t="s">
        <v>176</v>
      </c>
    </row>
    <row r="6" spans="1:10" ht="12.75" customHeight="1">
      <c r="A6" s="3"/>
      <c r="B6" s="323" t="s">
        <v>178</v>
      </c>
      <c r="C6" s="324"/>
      <c r="D6" s="325"/>
      <c r="E6" s="506" t="s">
        <v>189</v>
      </c>
      <c r="F6" s="322" t="s">
        <v>71</v>
      </c>
      <c r="G6" s="506" t="s">
        <v>241</v>
      </c>
      <c r="H6" s="328"/>
      <c r="I6" s="515"/>
      <c r="J6" s="493"/>
    </row>
    <row r="7" spans="1:10" ht="12.75" customHeight="1">
      <c r="A7" s="3" t="s">
        <v>77</v>
      </c>
      <c r="B7" s="501" t="s">
        <v>179</v>
      </c>
      <c r="C7" s="243" t="s">
        <v>137</v>
      </c>
      <c r="D7" s="243" t="s">
        <v>180</v>
      </c>
      <c r="E7" s="501"/>
      <c r="F7" s="326" t="s">
        <v>34</v>
      </c>
      <c r="G7" s="468"/>
      <c r="H7" s="329" t="s">
        <v>72</v>
      </c>
      <c r="I7" s="515"/>
      <c r="J7" s="493"/>
    </row>
    <row r="8" spans="1:10" ht="12.75" customHeight="1">
      <c r="A8" s="3" t="s">
        <v>33</v>
      </c>
      <c r="B8" s="501"/>
      <c r="C8" s="243" t="s">
        <v>135</v>
      </c>
      <c r="D8" s="243" t="s">
        <v>181</v>
      </c>
      <c r="E8" s="501"/>
      <c r="F8" s="326" t="s">
        <v>76</v>
      </c>
      <c r="G8" s="468"/>
      <c r="H8" s="329" t="s">
        <v>143</v>
      </c>
      <c r="I8" s="515"/>
      <c r="J8" s="493"/>
    </row>
    <row r="9" spans="1:10" ht="13.5" thickBot="1">
      <c r="A9" s="7" t="s">
        <v>132</v>
      </c>
      <c r="B9" s="508"/>
      <c r="C9" s="318" t="s">
        <v>33</v>
      </c>
      <c r="D9" s="318"/>
      <c r="E9" s="508"/>
      <c r="F9" s="327" t="s">
        <v>70</v>
      </c>
      <c r="G9" s="507"/>
      <c r="H9" s="330" t="s">
        <v>73</v>
      </c>
      <c r="I9" s="516"/>
      <c r="J9" s="511"/>
    </row>
    <row r="10" spans="1:10" s="332" customFormat="1" ht="12.75">
      <c r="A10" s="315" t="s">
        <v>0</v>
      </c>
      <c r="B10" s="253">
        <f aca="true" t="shared" si="0" ref="B10:J10">SUM(B12:B39)</f>
        <v>275528.48</v>
      </c>
      <c r="C10" s="253">
        <f t="shared" si="0"/>
        <v>75855</v>
      </c>
      <c r="D10" s="253">
        <f t="shared" si="0"/>
        <v>425797.36000000004</v>
      </c>
      <c r="E10" s="253">
        <f t="shared" si="0"/>
        <v>253204.97</v>
      </c>
      <c r="F10" s="253">
        <f t="shared" si="0"/>
        <v>173475957.52</v>
      </c>
      <c r="G10" s="253">
        <f t="shared" si="0"/>
        <v>220415</v>
      </c>
      <c r="H10" s="253">
        <f t="shared" si="0"/>
        <v>16983123.629999995</v>
      </c>
      <c r="I10" s="253">
        <f t="shared" si="0"/>
        <v>3557488.2800000003</v>
      </c>
      <c r="J10" s="335">
        <f t="shared" si="0"/>
        <v>40535866.07999999</v>
      </c>
    </row>
    <row r="11" spans="1:10" ht="15">
      <c r="A11" s="3"/>
      <c r="B11" s="225"/>
      <c r="C11" s="249"/>
      <c r="D11" s="249"/>
      <c r="E11" s="249"/>
      <c r="F11" s="254"/>
      <c r="G11" s="321"/>
      <c r="H11" s="254"/>
      <c r="I11" s="249"/>
      <c r="J11" s="254"/>
    </row>
    <row r="12" spans="1:11" ht="12.75">
      <c r="A12" s="3" t="s">
        <v>1</v>
      </c>
      <c r="B12" s="154">
        <v>0</v>
      </c>
      <c r="C12" s="154">
        <v>0</v>
      </c>
      <c r="D12" s="154">
        <v>6556.26</v>
      </c>
      <c r="E12" s="358">
        <v>0</v>
      </c>
      <c r="F12" s="357">
        <v>2612178.7</v>
      </c>
      <c r="G12" s="154">
        <v>0</v>
      </c>
      <c r="H12" s="357">
        <v>288693.4</v>
      </c>
      <c r="I12" s="394">
        <v>0</v>
      </c>
      <c r="J12" s="154">
        <v>699408.2899999999</v>
      </c>
      <c r="K12" s="34"/>
    </row>
    <row r="13" spans="1:11" ht="12.75">
      <c r="A13" s="3" t="s">
        <v>2</v>
      </c>
      <c r="B13" s="154">
        <v>0</v>
      </c>
      <c r="C13" s="154">
        <v>0</v>
      </c>
      <c r="D13" s="154">
        <v>0</v>
      </c>
      <c r="E13" s="358">
        <v>0</v>
      </c>
      <c r="F13" s="357">
        <v>9812480</v>
      </c>
      <c r="G13" s="154">
        <v>0</v>
      </c>
      <c r="H13" s="154">
        <v>1280339</v>
      </c>
      <c r="I13" s="394">
        <v>327665.98</v>
      </c>
      <c r="J13" s="153">
        <v>3119077.37</v>
      </c>
      <c r="K13" s="34"/>
    </row>
    <row r="14" spans="1:10" s="23" customFormat="1" ht="12.75">
      <c r="A14" s="32" t="s">
        <v>3</v>
      </c>
      <c r="B14" s="154">
        <v>0</v>
      </c>
      <c r="C14" s="153">
        <v>42546</v>
      </c>
      <c r="D14" s="153">
        <v>38622.87</v>
      </c>
      <c r="E14" s="154">
        <v>0</v>
      </c>
      <c r="F14" s="357">
        <v>29249798.37</v>
      </c>
      <c r="G14" s="154">
        <v>209045.12</v>
      </c>
      <c r="H14" s="154">
        <v>1906448.46</v>
      </c>
      <c r="I14" s="394">
        <v>0</v>
      </c>
      <c r="J14" s="153">
        <v>10456065.82</v>
      </c>
    </row>
    <row r="15" spans="1:11" ht="12.75">
      <c r="A15" s="3" t="s">
        <v>4</v>
      </c>
      <c r="B15" s="154">
        <v>0</v>
      </c>
      <c r="C15" s="154">
        <v>0</v>
      </c>
      <c r="D15" s="154">
        <v>83013.25</v>
      </c>
      <c r="E15" s="154">
        <v>0</v>
      </c>
      <c r="F15" s="357">
        <v>21374864</v>
      </c>
      <c r="G15" s="154">
        <v>0</v>
      </c>
      <c r="H15" s="357">
        <v>1991604</v>
      </c>
      <c r="I15" s="394">
        <v>0</v>
      </c>
      <c r="J15" s="154">
        <v>5670361.909999999</v>
      </c>
      <c r="K15" s="34"/>
    </row>
    <row r="16" spans="1:11" ht="12.75">
      <c r="A16" s="3" t="s">
        <v>5</v>
      </c>
      <c r="B16" s="154">
        <v>0</v>
      </c>
      <c r="C16" s="154">
        <v>0</v>
      </c>
      <c r="D16" s="154">
        <v>0</v>
      </c>
      <c r="E16" s="154">
        <v>0</v>
      </c>
      <c r="F16" s="357">
        <v>1452540.68</v>
      </c>
      <c r="G16" s="154">
        <v>0</v>
      </c>
      <c r="H16" s="357">
        <v>275893</v>
      </c>
      <c r="I16" s="394">
        <v>0</v>
      </c>
      <c r="J16" s="154">
        <v>463213.66</v>
      </c>
      <c r="K16" s="34"/>
    </row>
    <row r="17" spans="1:11" ht="12.75">
      <c r="A17" s="3"/>
      <c r="B17" s="154"/>
      <c r="C17" s="154"/>
      <c r="D17" s="154"/>
      <c r="E17" s="154"/>
      <c r="F17" s="357"/>
      <c r="G17" s="357"/>
      <c r="H17" s="357"/>
      <c r="I17" s="394"/>
      <c r="J17" s="154"/>
      <c r="K17" s="34"/>
    </row>
    <row r="18" spans="1:11" ht="12.75">
      <c r="A18" s="3" t="s">
        <v>6</v>
      </c>
      <c r="B18" s="154">
        <v>0</v>
      </c>
      <c r="C18" s="154">
        <v>0</v>
      </c>
      <c r="D18" s="154">
        <v>0</v>
      </c>
      <c r="E18" s="154">
        <v>0</v>
      </c>
      <c r="F18" s="357">
        <v>1525349.2</v>
      </c>
      <c r="G18" s="154">
        <v>0</v>
      </c>
      <c r="H18" s="154">
        <v>0</v>
      </c>
      <c r="I18" s="394">
        <v>664896.22</v>
      </c>
      <c r="J18" s="154">
        <v>386969.20999999996</v>
      </c>
      <c r="K18" s="34"/>
    </row>
    <row r="19" spans="1:11" ht="12.75">
      <c r="A19" s="3" t="s">
        <v>7</v>
      </c>
      <c r="B19" s="154">
        <v>0</v>
      </c>
      <c r="C19" s="154">
        <v>0</v>
      </c>
      <c r="D19" s="154">
        <v>0</v>
      </c>
      <c r="E19" s="154">
        <v>0</v>
      </c>
      <c r="F19" s="357">
        <v>2030290.22</v>
      </c>
      <c r="G19" s="357">
        <v>11369.88</v>
      </c>
      <c r="H19" s="357">
        <v>469629.1</v>
      </c>
      <c r="I19" s="394">
        <v>0</v>
      </c>
      <c r="J19" s="154">
        <v>782661.8</v>
      </c>
      <c r="K19" s="34"/>
    </row>
    <row r="20" spans="1:11" ht="12.75">
      <c r="A20" s="3" t="s">
        <v>8</v>
      </c>
      <c r="B20" s="154">
        <v>0</v>
      </c>
      <c r="C20" s="154">
        <v>0</v>
      </c>
      <c r="D20" s="154">
        <v>0</v>
      </c>
      <c r="E20" s="154">
        <v>0</v>
      </c>
      <c r="F20" s="357">
        <v>3141215.72</v>
      </c>
      <c r="G20" s="154">
        <v>0</v>
      </c>
      <c r="H20" s="357">
        <v>352637.79</v>
      </c>
      <c r="I20" s="394">
        <v>0</v>
      </c>
      <c r="J20" s="154">
        <v>740506.04</v>
      </c>
      <c r="K20" s="34"/>
    </row>
    <row r="21" spans="1:11" ht="12.75">
      <c r="A21" s="3" t="s">
        <v>9</v>
      </c>
      <c r="B21" s="154">
        <v>0</v>
      </c>
      <c r="C21" s="153">
        <v>7548.83</v>
      </c>
      <c r="D21" s="153">
        <v>0</v>
      </c>
      <c r="E21" s="154">
        <v>0</v>
      </c>
      <c r="F21" s="357">
        <v>4002083.98</v>
      </c>
      <c r="G21" s="154">
        <v>0</v>
      </c>
      <c r="H21" s="357">
        <v>585436.39</v>
      </c>
      <c r="I21" s="394">
        <v>0</v>
      </c>
      <c r="J21" s="154">
        <v>895862.0900000001</v>
      </c>
      <c r="K21" s="34"/>
    </row>
    <row r="22" spans="1:11" ht="12.75">
      <c r="A22" s="3" t="s">
        <v>10</v>
      </c>
      <c r="B22" s="154">
        <v>0</v>
      </c>
      <c r="C22" s="154">
        <v>0</v>
      </c>
      <c r="D22" s="154">
        <v>12121</v>
      </c>
      <c r="E22" s="154">
        <v>0</v>
      </c>
      <c r="F22" s="357">
        <v>1631984</v>
      </c>
      <c r="G22" s="154">
        <v>0</v>
      </c>
      <c r="H22" s="357">
        <v>145038</v>
      </c>
      <c r="I22" s="394">
        <v>0</v>
      </c>
      <c r="J22" s="154">
        <v>369852.07</v>
      </c>
      <c r="K22" s="34"/>
    </row>
    <row r="23" spans="1:11" ht="12.75">
      <c r="A23" s="3"/>
      <c r="B23" s="154"/>
      <c r="C23" s="154"/>
      <c r="D23" s="154"/>
      <c r="E23" s="154"/>
      <c r="F23" s="357"/>
      <c r="G23" s="357"/>
      <c r="H23" s="357"/>
      <c r="I23" s="394"/>
      <c r="J23" s="154"/>
      <c r="K23" s="34"/>
    </row>
    <row r="24" spans="1:11" ht="12.75">
      <c r="A24" s="3" t="s">
        <v>11</v>
      </c>
      <c r="B24" s="154">
        <v>0</v>
      </c>
      <c r="C24" s="154">
        <v>0</v>
      </c>
      <c r="D24" s="154">
        <v>0</v>
      </c>
      <c r="E24" s="154">
        <v>0</v>
      </c>
      <c r="F24" s="357">
        <v>4382407.56</v>
      </c>
      <c r="G24" s="154">
        <v>0</v>
      </c>
      <c r="H24" s="357">
        <v>615457.3</v>
      </c>
      <c r="I24" s="394">
        <v>241450.05</v>
      </c>
      <c r="J24" s="154">
        <v>996376.4099999999</v>
      </c>
      <c r="K24" s="34"/>
    </row>
    <row r="25" spans="1:11" ht="12.75">
      <c r="A25" s="3" t="s">
        <v>12</v>
      </c>
      <c r="B25" s="154">
        <v>0</v>
      </c>
      <c r="C25" s="154">
        <v>0</v>
      </c>
      <c r="D25" s="154">
        <v>42438.63</v>
      </c>
      <c r="E25" s="154">
        <v>0</v>
      </c>
      <c r="F25" s="357">
        <v>1114363</v>
      </c>
      <c r="G25" s="154">
        <v>0</v>
      </c>
      <c r="H25" s="357">
        <v>116584</v>
      </c>
      <c r="I25" s="394">
        <v>0</v>
      </c>
      <c r="J25" s="154">
        <v>348288.32</v>
      </c>
      <c r="K25" s="34"/>
    </row>
    <row r="26" spans="1:11" ht="12.75">
      <c r="A26" s="3" t="s">
        <v>13</v>
      </c>
      <c r="B26" s="154">
        <v>0</v>
      </c>
      <c r="C26" s="154">
        <v>0</v>
      </c>
      <c r="D26" s="154">
        <v>0</v>
      </c>
      <c r="E26" s="154">
        <v>0</v>
      </c>
      <c r="F26" s="357">
        <v>5955930</v>
      </c>
      <c r="G26" s="154">
        <v>0</v>
      </c>
      <c r="H26" s="357">
        <v>977981</v>
      </c>
      <c r="I26" s="394">
        <v>149556.02000000002</v>
      </c>
      <c r="J26" s="154">
        <v>1282619.24</v>
      </c>
      <c r="K26" s="34"/>
    </row>
    <row r="27" spans="1:11" ht="12.75">
      <c r="A27" s="3" t="s">
        <v>14</v>
      </c>
      <c r="B27" s="358">
        <v>0</v>
      </c>
      <c r="C27" s="154">
        <v>0</v>
      </c>
      <c r="D27" s="154">
        <v>0</v>
      </c>
      <c r="E27" s="154">
        <v>0</v>
      </c>
      <c r="F27" s="357">
        <v>3991190</v>
      </c>
      <c r="G27" s="154">
        <v>0</v>
      </c>
      <c r="H27" s="357">
        <v>821880</v>
      </c>
      <c r="I27" s="394">
        <v>499205.1</v>
      </c>
      <c r="J27" s="154">
        <v>955090.71</v>
      </c>
      <c r="K27" s="34"/>
    </row>
    <row r="28" spans="1:11" ht="12.75">
      <c r="A28" s="3" t="s">
        <v>15</v>
      </c>
      <c r="B28" s="154">
        <v>0</v>
      </c>
      <c r="C28" s="154">
        <v>0</v>
      </c>
      <c r="D28" s="154">
        <v>0</v>
      </c>
      <c r="E28" s="154">
        <v>0</v>
      </c>
      <c r="F28" s="357">
        <v>752443.38</v>
      </c>
      <c r="G28" s="154">
        <v>0</v>
      </c>
      <c r="H28" s="357">
        <v>64490.85</v>
      </c>
      <c r="I28" s="394">
        <v>441817.99</v>
      </c>
      <c r="J28" s="154">
        <v>180216.38</v>
      </c>
      <c r="K28" s="34"/>
    </row>
    <row r="29" spans="1:11" ht="12.75">
      <c r="A29" s="3"/>
      <c r="B29" s="154"/>
      <c r="C29" s="154"/>
      <c r="D29" s="154"/>
      <c r="E29" s="154"/>
      <c r="F29" s="357"/>
      <c r="G29" s="357"/>
      <c r="H29" s="357"/>
      <c r="I29" s="394"/>
      <c r="J29" s="154"/>
      <c r="K29" s="34"/>
    </row>
    <row r="30" spans="1:11" ht="12.75">
      <c r="A30" s="3" t="s">
        <v>16</v>
      </c>
      <c r="B30" s="154">
        <v>0</v>
      </c>
      <c r="C30" s="153">
        <v>25760.17</v>
      </c>
      <c r="D30" s="153">
        <v>181016.07</v>
      </c>
      <c r="E30" s="154">
        <v>0</v>
      </c>
      <c r="F30" s="357">
        <v>24045301</v>
      </c>
      <c r="G30" s="154">
        <v>0</v>
      </c>
      <c r="H30" s="357">
        <v>2580233</v>
      </c>
      <c r="I30" s="394">
        <v>0</v>
      </c>
      <c r="J30" s="154">
        <v>4205453.96</v>
      </c>
      <c r="K30" s="34"/>
    </row>
    <row r="31" spans="1:11" ht="12.75">
      <c r="A31" s="3" t="s">
        <v>17</v>
      </c>
      <c r="B31" s="154">
        <v>0</v>
      </c>
      <c r="C31" s="153">
        <v>0</v>
      </c>
      <c r="D31" s="153">
        <v>5583.13</v>
      </c>
      <c r="E31" s="154">
        <v>0</v>
      </c>
      <c r="F31" s="357">
        <v>39249643</v>
      </c>
      <c r="G31" s="154">
        <v>0</v>
      </c>
      <c r="H31" s="357">
        <v>2955749</v>
      </c>
      <c r="I31" s="394">
        <v>0</v>
      </c>
      <c r="J31" s="154">
        <v>5305549.3</v>
      </c>
      <c r="K31" s="34"/>
    </row>
    <row r="32" spans="1:11" s="55" customFormat="1" ht="12.75">
      <c r="A32" s="54" t="s">
        <v>18</v>
      </c>
      <c r="B32" s="154">
        <v>0</v>
      </c>
      <c r="C32" s="154">
        <v>0</v>
      </c>
      <c r="D32" s="154">
        <v>0</v>
      </c>
      <c r="E32" s="154">
        <v>0</v>
      </c>
      <c r="F32" s="357">
        <v>870772.98</v>
      </c>
      <c r="G32" s="154">
        <v>0</v>
      </c>
      <c r="H32" s="154">
        <v>0</v>
      </c>
      <c r="I32" s="394">
        <v>292344.37</v>
      </c>
      <c r="J32" s="154">
        <v>256643.65999999997</v>
      </c>
      <c r="K32" s="353"/>
    </row>
    <row r="33" spans="1:11" ht="12.75">
      <c r="A33" s="3" t="s">
        <v>19</v>
      </c>
      <c r="B33" s="154">
        <v>0</v>
      </c>
      <c r="C33" s="154">
        <v>0</v>
      </c>
      <c r="D33" s="154">
        <v>0</v>
      </c>
      <c r="E33" s="154">
        <v>0</v>
      </c>
      <c r="F33" s="357">
        <v>2718669.05</v>
      </c>
      <c r="G33" s="154">
        <v>0</v>
      </c>
      <c r="H33" s="357">
        <v>425094</v>
      </c>
      <c r="I33" s="394">
        <v>384539.57</v>
      </c>
      <c r="J33" s="154">
        <v>615592.01</v>
      </c>
      <c r="K33" s="34"/>
    </row>
    <row r="34" spans="1:11" ht="12.75">
      <c r="A34" s="3" t="s">
        <v>20</v>
      </c>
      <c r="B34" s="154">
        <v>14023.64</v>
      </c>
      <c r="C34" s="154">
        <v>0</v>
      </c>
      <c r="D34" s="154">
        <v>56446.15</v>
      </c>
      <c r="E34" s="154">
        <v>0</v>
      </c>
      <c r="F34" s="357">
        <v>1128428.8</v>
      </c>
      <c r="G34" s="154">
        <v>0</v>
      </c>
      <c r="H34" s="357">
        <v>67141</v>
      </c>
      <c r="I34" s="394">
        <v>0</v>
      </c>
      <c r="J34" s="154">
        <v>279130</v>
      </c>
      <c r="K34" s="34"/>
    </row>
    <row r="35" spans="1:11" ht="12.75">
      <c r="A35" s="3"/>
      <c r="B35" s="154"/>
      <c r="C35" s="154"/>
      <c r="D35" s="154"/>
      <c r="E35" s="154"/>
      <c r="F35" s="357"/>
      <c r="G35" s="357"/>
      <c r="H35" s="357"/>
      <c r="I35" s="394"/>
      <c r="J35" s="154"/>
      <c r="K35" s="34"/>
    </row>
    <row r="36" spans="1:11" ht="12.75">
      <c r="A36" s="3" t="s">
        <v>21</v>
      </c>
      <c r="B36" s="154">
        <v>0</v>
      </c>
      <c r="C36" s="154">
        <v>0</v>
      </c>
      <c r="D36" s="154">
        <v>0</v>
      </c>
      <c r="E36" s="154">
        <v>0</v>
      </c>
      <c r="F36" s="357">
        <v>839946.06</v>
      </c>
      <c r="G36" s="154">
        <v>0</v>
      </c>
      <c r="H36" s="154">
        <v>120872.34</v>
      </c>
      <c r="I36" s="394">
        <v>0</v>
      </c>
      <c r="J36" s="154">
        <v>265030.92</v>
      </c>
      <c r="K36" s="34"/>
    </row>
    <row r="37" spans="1:11" ht="12.75">
      <c r="A37" s="3" t="s">
        <v>22</v>
      </c>
      <c r="B37" s="154">
        <v>89678.18</v>
      </c>
      <c r="C37" s="154">
        <v>0</v>
      </c>
      <c r="D37" s="154">
        <v>0</v>
      </c>
      <c r="E37" s="154">
        <v>253204.97</v>
      </c>
      <c r="F37" s="357">
        <v>5706322.17</v>
      </c>
      <c r="G37" s="154">
        <v>0</v>
      </c>
      <c r="H37" s="357">
        <v>612606</v>
      </c>
      <c r="I37" s="394">
        <v>0</v>
      </c>
      <c r="J37" s="154">
        <v>1133241.3399999999</v>
      </c>
      <c r="K37" s="34"/>
    </row>
    <row r="38" spans="1:11" ht="12.75">
      <c r="A38" s="3" t="s">
        <v>23</v>
      </c>
      <c r="B38" s="154">
        <v>171826.66</v>
      </c>
      <c r="C38" s="154">
        <v>0</v>
      </c>
      <c r="D38" s="154">
        <v>0</v>
      </c>
      <c r="E38" s="154">
        <v>0</v>
      </c>
      <c r="F38" s="357">
        <v>4145101.18</v>
      </c>
      <c r="G38" s="154">
        <v>0</v>
      </c>
      <c r="H38" s="154">
        <v>329316</v>
      </c>
      <c r="I38" s="394">
        <v>354314.77</v>
      </c>
      <c r="J38" s="154">
        <v>579546</v>
      </c>
      <c r="K38" s="34"/>
    </row>
    <row r="39" spans="1:11" ht="12.75">
      <c r="A39" s="12" t="s">
        <v>24</v>
      </c>
      <c r="B39" s="155">
        <v>0</v>
      </c>
      <c r="C39" s="155">
        <v>0</v>
      </c>
      <c r="D39" s="395">
        <v>0</v>
      </c>
      <c r="E39" s="155">
        <v>0</v>
      </c>
      <c r="F39" s="359">
        <v>1742654.47</v>
      </c>
      <c r="G39" s="155">
        <v>0</v>
      </c>
      <c r="H39" s="155">
        <v>0</v>
      </c>
      <c r="I39" s="396">
        <v>201698.21000000002</v>
      </c>
      <c r="J39" s="155">
        <v>549109.5700000001</v>
      </c>
      <c r="K39" s="34"/>
    </row>
    <row r="40" spans="1:11" ht="12.75">
      <c r="A40" s="3"/>
      <c r="B40" s="3"/>
      <c r="C40" s="3"/>
      <c r="D40" s="256"/>
      <c r="E40" s="256"/>
      <c r="F40" s="223"/>
      <c r="G40" s="223"/>
      <c r="H40" s="223"/>
      <c r="I40" s="223"/>
      <c r="J40" s="255"/>
      <c r="K40" s="34"/>
    </row>
    <row r="41" spans="1:10" ht="12.75">
      <c r="A41" s="3"/>
      <c r="B41" s="3"/>
      <c r="C41" s="3"/>
      <c r="D41" s="256"/>
      <c r="E41" s="256"/>
      <c r="F41" s="223"/>
      <c r="G41" s="223"/>
      <c r="H41" s="223"/>
      <c r="I41" s="223"/>
      <c r="J41" s="255"/>
    </row>
    <row r="42" spans="1:10" ht="12.75">
      <c r="A42" s="3"/>
      <c r="B42" s="3"/>
      <c r="C42" s="3"/>
      <c r="D42" s="256"/>
      <c r="E42" s="256"/>
      <c r="F42" s="223"/>
      <c r="G42" s="223"/>
      <c r="H42" s="255"/>
      <c r="I42" s="255"/>
      <c r="J42" s="34"/>
    </row>
    <row r="43" spans="1:10" ht="12.75">
      <c r="A43" s="3"/>
      <c r="B43" s="3"/>
      <c r="C43" s="3"/>
      <c r="D43" s="256"/>
      <c r="E43" s="256"/>
      <c r="F43" s="223"/>
      <c r="G43" s="223"/>
      <c r="H43" s="255"/>
      <c r="I43" s="255"/>
      <c r="J43" s="34"/>
    </row>
    <row r="44" spans="1:10" ht="12.75">
      <c r="A44" s="3"/>
      <c r="B44" s="3"/>
      <c r="C44" s="3"/>
      <c r="D44" s="256"/>
      <c r="E44" s="256"/>
      <c r="F44" s="223"/>
      <c r="G44" s="223"/>
      <c r="H44" s="255"/>
      <c r="I44" s="255"/>
      <c r="J44" s="34"/>
    </row>
    <row r="45" spans="1:10" ht="12.75">
      <c r="A45" s="3"/>
      <c r="B45" s="3"/>
      <c r="C45" s="3"/>
      <c r="D45" s="256"/>
      <c r="E45" s="256"/>
      <c r="F45" s="223"/>
      <c r="G45" s="223"/>
      <c r="H45" s="255"/>
      <c r="I45" s="255"/>
      <c r="J45" s="34"/>
    </row>
    <row r="46" spans="1:10" ht="12.75">
      <c r="A46" s="3"/>
      <c r="B46" s="3"/>
      <c r="C46" s="3"/>
      <c r="D46" s="256"/>
      <c r="E46" s="256"/>
      <c r="F46" s="223"/>
      <c r="G46" s="223"/>
      <c r="H46" s="255"/>
      <c r="I46" s="255"/>
      <c r="J46" s="34"/>
    </row>
    <row r="47" spans="1:10" ht="12.75">
      <c r="A47" s="3"/>
      <c r="B47" s="3"/>
      <c r="C47" s="3"/>
      <c r="D47" s="226"/>
      <c r="E47" s="226"/>
      <c r="F47" s="228"/>
      <c r="G47" s="228"/>
      <c r="J47" s="34"/>
    </row>
    <row r="48" spans="1:10" ht="12.75">
      <c r="A48" s="3"/>
      <c r="B48" s="3"/>
      <c r="C48" s="3"/>
      <c r="D48" s="226"/>
      <c r="E48" s="226"/>
      <c r="F48" s="228"/>
      <c r="G48" s="228"/>
      <c r="J48"/>
    </row>
    <row r="49" spans="1:10" ht="12.75">
      <c r="A49" s="3"/>
      <c r="B49" s="3"/>
      <c r="C49" s="3"/>
      <c r="D49" s="226"/>
      <c r="E49" s="226"/>
      <c r="F49" s="228"/>
      <c r="G49" s="228"/>
      <c r="J49"/>
    </row>
    <row r="50" spans="1:10" ht="12.75">
      <c r="A50" s="3"/>
      <c r="B50" s="3"/>
      <c r="C50" s="3"/>
      <c r="D50" s="226"/>
      <c r="E50" s="226"/>
      <c r="F50" s="228"/>
      <c r="G50" s="228"/>
      <c r="J50"/>
    </row>
    <row r="51" spans="1:10" ht="12.75">
      <c r="A51" s="3"/>
      <c r="B51" s="3"/>
      <c r="C51" s="3"/>
      <c r="D51" s="226"/>
      <c r="E51" s="226"/>
      <c r="F51" s="228"/>
      <c r="G51" s="228"/>
      <c r="J51"/>
    </row>
    <row r="52" ht="12.75">
      <c r="J52"/>
    </row>
    <row r="53" spans="1:10" ht="12.75">
      <c r="A53" s="3"/>
      <c r="B53" s="3"/>
      <c r="C53" s="3"/>
      <c r="D53" s="226"/>
      <c r="E53" s="226"/>
      <c r="F53" s="228"/>
      <c r="G53" s="228"/>
      <c r="J53"/>
    </row>
    <row r="54" spans="1:10" ht="12.75">
      <c r="A54" s="3"/>
      <c r="B54" s="3"/>
      <c r="C54" s="3"/>
      <c r="D54" s="226"/>
      <c r="E54" s="226"/>
      <c r="F54" s="228"/>
      <c r="G54" s="228"/>
      <c r="J54"/>
    </row>
    <row r="55" spans="1:10" ht="12.75">
      <c r="A55" s="3"/>
      <c r="B55" s="3"/>
      <c r="C55" s="3"/>
      <c r="D55" s="226"/>
      <c r="E55" s="226"/>
      <c r="J55"/>
    </row>
    <row r="56" spans="1:10" ht="12.75">
      <c r="A56" s="3"/>
      <c r="B56" s="3"/>
      <c r="C56" s="3"/>
      <c r="D56" s="226"/>
      <c r="E56" s="226"/>
      <c r="J56"/>
    </row>
    <row r="57" spans="1:10" ht="12.75">
      <c r="A57" s="3"/>
      <c r="B57" s="3"/>
      <c r="C57" s="3"/>
      <c r="D57" s="226"/>
      <c r="E57" s="226"/>
      <c r="J57"/>
    </row>
    <row r="58" spans="1:10" ht="12.75">
      <c r="A58" s="3"/>
      <c r="B58" s="3"/>
      <c r="C58" s="3"/>
      <c r="D58" s="226"/>
      <c r="E58" s="226"/>
      <c r="J58"/>
    </row>
    <row r="59" spans="1:10" ht="12.75">
      <c r="A59" s="3"/>
      <c r="B59" s="3"/>
      <c r="C59" s="3"/>
      <c r="D59" s="226"/>
      <c r="E59" s="226"/>
      <c r="J59"/>
    </row>
    <row r="60" spans="1:10" ht="12.75">
      <c r="A60" s="3"/>
      <c r="B60" s="3"/>
      <c r="C60" s="3"/>
      <c r="D60" s="226"/>
      <c r="E60" s="226"/>
      <c r="J60"/>
    </row>
    <row r="61" spans="1:10" ht="12.75">
      <c r="A61" s="3"/>
      <c r="B61" s="3"/>
      <c r="C61" s="3"/>
      <c r="D61" s="226"/>
      <c r="E61" s="226"/>
      <c r="J61"/>
    </row>
    <row r="62" spans="1:10" ht="12.75">
      <c r="A62" s="3"/>
      <c r="B62" s="3"/>
      <c r="C62" s="3"/>
      <c r="D62" s="226"/>
      <c r="E62" s="226"/>
      <c r="J62"/>
    </row>
    <row r="63" spans="1:10" ht="12.75">
      <c r="A63" s="3"/>
      <c r="B63" s="3"/>
      <c r="C63" s="3"/>
      <c r="D63" s="226"/>
      <c r="E63" s="226"/>
      <c r="J63"/>
    </row>
    <row r="64" spans="1:10" ht="12.75">
      <c r="A64" s="3"/>
      <c r="B64" s="3"/>
      <c r="C64" s="3"/>
      <c r="D64" s="226"/>
      <c r="E64" s="226"/>
      <c r="J64"/>
    </row>
    <row r="65" spans="1:10" ht="12.75">
      <c r="A65" s="3"/>
      <c r="B65" s="3"/>
      <c r="C65" s="3"/>
      <c r="D65" s="226"/>
      <c r="E65" s="226"/>
      <c r="J65"/>
    </row>
    <row r="66" spans="1:6" ht="12.75">
      <c r="A66" s="3"/>
      <c r="B66" s="3"/>
      <c r="C66" s="3"/>
      <c r="D66" s="226"/>
      <c r="E66" s="226"/>
      <c r="F66" s="223"/>
    </row>
    <row r="67" spans="1:6" ht="12.75">
      <c r="A67" s="3"/>
      <c r="B67" s="3"/>
      <c r="C67" s="3"/>
      <c r="D67" s="226"/>
      <c r="E67" s="226"/>
      <c r="F67" s="223"/>
    </row>
    <row r="68" spans="1:6" ht="12.75">
      <c r="A68" s="3"/>
      <c r="B68" s="3"/>
      <c r="C68" s="3"/>
      <c r="D68" s="226"/>
      <c r="E68" s="226"/>
      <c r="F68" s="223"/>
    </row>
    <row r="69" spans="1:6" ht="12.75">
      <c r="A69" s="3"/>
      <c r="B69" s="3"/>
      <c r="C69" s="3"/>
      <c r="D69" s="226"/>
      <c r="E69" s="226"/>
      <c r="F69" s="223"/>
    </row>
    <row r="70" spans="1:6" ht="12.75">
      <c r="A70" s="3"/>
      <c r="B70" s="3"/>
      <c r="C70" s="3"/>
      <c r="D70" s="226"/>
      <c r="E70" s="226"/>
      <c r="F70" s="309"/>
    </row>
    <row r="71" spans="1:5" ht="12.75">
      <c r="A71" s="3"/>
      <c r="B71" s="3"/>
      <c r="C71" s="3"/>
      <c r="D71" s="226"/>
      <c r="E71" s="226"/>
    </row>
    <row r="72" spans="1:5" ht="12.75">
      <c r="A72" s="3"/>
      <c r="B72" s="3"/>
      <c r="C72" s="3"/>
      <c r="D72" s="226"/>
      <c r="E72" s="226"/>
    </row>
    <row r="73" spans="1:5" ht="12.75">
      <c r="A73" s="3"/>
      <c r="B73" s="3"/>
      <c r="C73" s="3"/>
      <c r="D73" s="226"/>
      <c r="E73" s="226"/>
    </row>
    <row r="74" spans="1:5" ht="12.75">
      <c r="A74" s="3"/>
      <c r="B74" s="3"/>
      <c r="C74" s="3"/>
      <c r="D74" s="226"/>
      <c r="E74" s="226"/>
    </row>
    <row r="75" spans="1:5" ht="12.75">
      <c r="A75" s="3"/>
      <c r="B75" s="3"/>
      <c r="C75" s="3"/>
      <c r="D75" s="226"/>
      <c r="E75" s="226"/>
    </row>
    <row r="76" spans="1:5" ht="12.75">
      <c r="A76" s="3"/>
      <c r="B76" s="3"/>
      <c r="C76" s="3"/>
      <c r="D76" s="226"/>
      <c r="E76" s="226"/>
    </row>
    <row r="77" spans="1:5" ht="12.75">
      <c r="A77" s="3"/>
      <c r="B77" s="3"/>
      <c r="C77" s="3"/>
      <c r="D77" s="226"/>
      <c r="E77" s="226"/>
    </row>
    <row r="78" spans="1:5" ht="12.75">
      <c r="A78" s="3"/>
      <c r="B78" s="3"/>
      <c r="C78" s="3"/>
      <c r="D78" s="226"/>
      <c r="E78" s="226"/>
    </row>
    <row r="79" spans="1:5" ht="12.75">
      <c r="A79" s="3"/>
      <c r="B79" s="3"/>
      <c r="C79" s="3"/>
      <c r="D79" s="226"/>
      <c r="E79" s="226"/>
    </row>
    <row r="80" spans="1:5" ht="12.75">
      <c r="A80" s="3"/>
      <c r="B80" s="3"/>
      <c r="C80" s="3"/>
      <c r="D80" s="226"/>
      <c r="E80" s="226"/>
    </row>
    <row r="81" spans="1:5" ht="12.75">
      <c r="A81" s="3"/>
      <c r="B81" s="3"/>
      <c r="C81" s="3"/>
      <c r="D81" s="226"/>
      <c r="E81" s="226"/>
    </row>
    <row r="82" spans="1:5" ht="12.75">
      <c r="A82" s="3"/>
      <c r="B82" s="3"/>
      <c r="C82" s="3"/>
      <c r="D82" s="226"/>
      <c r="E82" s="226"/>
    </row>
    <row r="83" spans="1:5" ht="12.75">
      <c r="A83" s="3"/>
      <c r="B83" s="3"/>
      <c r="C83" s="3"/>
      <c r="D83" s="226"/>
      <c r="E83" s="226"/>
    </row>
    <row r="84" spans="1:5" ht="12.75">
      <c r="A84" s="3"/>
      <c r="B84" s="3"/>
      <c r="C84" s="3"/>
      <c r="D84" s="226"/>
      <c r="E84" s="226"/>
    </row>
  </sheetData>
  <sheetProtection password="CAF5" sheet="1" objects="1" scenarios="1"/>
  <mergeCells count="9">
    <mergeCell ref="G6:G9"/>
    <mergeCell ref="B7:B9"/>
    <mergeCell ref="B5:E5"/>
    <mergeCell ref="A1:J1"/>
    <mergeCell ref="A3:J3"/>
    <mergeCell ref="J5:J9"/>
    <mergeCell ref="F5:H5"/>
    <mergeCell ref="E6:E9"/>
    <mergeCell ref="I5:I9"/>
  </mergeCells>
  <printOptions horizontalCentered="1"/>
  <pageMargins left="0.45" right="0.52" top="0.83" bottom="1" header="0.67" footer="0.5"/>
  <pageSetup fitToHeight="1" fitToWidth="1" horizontalDpi="600" verticalDpi="600" orientation="landscape" scale="87" r:id="rId1"/>
  <headerFooter alignWithMargins="0">
    <oddFooter>&amp;L&amp;"Arial,Italic"&amp;9MSDE - LFRO  11 / 2012&amp;C- 14 -&amp;R&amp;"Arial,Italic"&amp;9Selected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G22">
      <selection activeCell="I11" sqref="I11"/>
    </sheetView>
  </sheetViews>
  <sheetFormatPr defaultColWidth="9.140625" defaultRowHeight="12.75"/>
  <cols>
    <col min="1" max="8" width="17.57421875" style="0" customWidth="1"/>
    <col min="9" max="9" width="14.28125" style="250" customWidth="1"/>
    <col min="10" max="10" width="12.8515625" style="250" customWidth="1"/>
    <col min="11" max="11" width="13.00390625" style="250" customWidth="1"/>
    <col min="12" max="12" width="12.7109375" style="250" customWidth="1"/>
    <col min="13" max="13" width="13.140625" style="0" customWidth="1"/>
  </cols>
  <sheetData>
    <row r="1" spans="1:12" ht="12.75">
      <c r="A1" s="484" t="s">
        <v>119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1" ht="12.75">
      <c r="A2" s="3"/>
      <c r="B2" s="3"/>
      <c r="C2" s="3"/>
      <c r="D2" s="3"/>
      <c r="E2" s="3"/>
      <c r="F2" s="3"/>
      <c r="G2" s="3"/>
      <c r="H2" s="3"/>
      <c r="I2" s="226"/>
      <c r="J2" s="226"/>
      <c r="K2" s="226"/>
    </row>
    <row r="3" spans="1:12" ht="12.75">
      <c r="A3" s="490" t="s">
        <v>257</v>
      </c>
      <c r="B3" s="490"/>
      <c r="C3" s="490"/>
      <c r="D3" s="490"/>
      <c r="E3" s="490"/>
      <c r="F3" s="490"/>
      <c r="G3" s="490"/>
      <c r="H3" s="490"/>
      <c r="I3" s="484"/>
      <c r="J3" s="484"/>
      <c r="K3" s="484"/>
      <c r="L3" s="484"/>
    </row>
    <row r="4" spans="1:17" ht="15" customHeight="1" thickBot="1">
      <c r="A4" s="3"/>
      <c r="B4" s="3"/>
      <c r="C4" s="3"/>
      <c r="D4" s="3"/>
      <c r="E4" s="3"/>
      <c r="F4" s="3"/>
      <c r="G4" s="3"/>
      <c r="H4" s="3"/>
      <c r="I4" s="226"/>
      <c r="J4" s="226"/>
      <c r="K4" s="226"/>
      <c r="L4" s="226"/>
      <c r="Q4" s="3"/>
    </row>
    <row r="5" spans="1:16" ht="17.25" customHeight="1" thickTop="1">
      <c r="A5" s="6"/>
      <c r="B5" s="517" t="s">
        <v>66</v>
      </c>
      <c r="C5" s="518"/>
      <c r="D5" s="518"/>
      <c r="E5" s="518"/>
      <c r="F5" s="518"/>
      <c r="G5" s="519"/>
      <c r="H5" s="520"/>
      <c r="I5" s="227"/>
      <c r="J5" s="247"/>
      <c r="K5" s="247"/>
      <c r="L5" s="247"/>
      <c r="P5" s="3"/>
    </row>
    <row r="6" spans="1:16" ht="12.75" customHeight="1">
      <c r="A6" s="3"/>
      <c r="B6" s="349"/>
      <c r="C6" s="250"/>
      <c r="D6" s="250"/>
      <c r="E6" s="242" t="s">
        <v>139</v>
      </c>
      <c r="F6" s="242" t="s">
        <v>231</v>
      </c>
      <c r="G6" s="242" t="s">
        <v>231</v>
      </c>
      <c r="H6" s="348" t="s">
        <v>231</v>
      </c>
      <c r="I6" s="226"/>
      <c r="J6" s="243" t="s">
        <v>140</v>
      </c>
      <c r="K6" s="487" t="s">
        <v>177</v>
      </c>
      <c r="L6" s="501" t="s">
        <v>259</v>
      </c>
      <c r="P6" s="3"/>
    </row>
    <row r="7" spans="1:16" ht="12.75">
      <c r="A7" s="3" t="s">
        <v>77</v>
      </c>
      <c r="B7" s="350"/>
      <c r="C7" s="243"/>
      <c r="D7" s="501" t="s">
        <v>260</v>
      </c>
      <c r="E7" s="243" t="s">
        <v>120</v>
      </c>
      <c r="F7" s="501" t="s">
        <v>246</v>
      </c>
      <c r="G7" s="501" t="s">
        <v>242</v>
      </c>
      <c r="H7" s="521" t="s">
        <v>247</v>
      </c>
      <c r="I7" s="226"/>
      <c r="J7" s="243" t="s">
        <v>35</v>
      </c>
      <c r="K7" s="502"/>
      <c r="L7" s="469"/>
      <c r="P7" s="3"/>
    </row>
    <row r="8" spans="1:16" ht="12.75">
      <c r="A8" s="3" t="s">
        <v>33</v>
      </c>
      <c r="B8" s="351" t="s">
        <v>138</v>
      </c>
      <c r="C8" s="243" t="s">
        <v>138</v>
      </c>
      <c r="D8" s="469"/>
      <c r="E8" s="243" t="s">
        <v>31</v>
      </c>
      <c r="F8" s="469"/>
      <c r="G8" s="469"/>
      <c r="H8" s="522"/>
      <c r="I8" s="243" t="s">
        <v>184</v>
      </c>
      <c r="J8" s="243" t="s">
        <v>65</v>
      </c>
      <c r="K8" s="502"/>
      <c r="L8" s="469"/>
      <c r="P8" s="3"/>
    </row>
    <row r="9" spans="1:16" ht="16.5" customHeight="1" thickBot="1">
      <c r="A9" s="7" t="s">
        <v>132</v>
      </c>
      <c r="B9" s="352" t="s">
        <v>144</v>
      </c>
      <c r="C9" s="245" t="s">
        <v>54</v>
      </c>
      <c r="D9" s="470"/>
      <c r="E9" s="245" t="s">
        <v>121</v>
      </c>
      <c r="F9" s="470"/>
      <c r="G9" s="470"/>
      <c r="H9" s="523"/>
      <c r="I9" s="245" t="s">
        <v>34</v>
      </c>
      <c r="J9" s="245" t="s">
        <v>55</v>
      </c>
      <c r="K9" s="482"/>
      <c r="L9" s="470"/>
      <c r="P9" s="3"/>
    </row>
    <row r="10" spans="1:16" s="44" customFormat="1" ht="12.75">
      <c r="A10" s="47" t="s">
        <v>0</v>
      </c>
      <c r="B10" s="253">
        <f aca="true" t="shared" si="0" ref="B10:H10">SUM(B12:B39)</f>
        <v>171145159.75999996</v>
      </c>
      <c r="C10" s="253">
        <f t="shared" si="0"/>
        <v>4966011.53</v>
      </c>
      <c r="D10" s="253">
        <f t="shared" si="0"/>
        <v>70710</v>
      </c>
      <c r="E10" s="253">
        <f t="shared" si="0"/>
        <v>2453396.5800000005</v>
      </c>
      <c r="F10" s="253">
        <f t="shared" si="0"/>
        <v>101698843.40999997</v>
      </c>
      <c r="G10" s="253">
        <f t="shared" si="0"/>
        <v>3858102.8700000006</v>
      </c>
      <c r="H10" s="253">
        <f t="shared" si="0"/>
        <v>7150924.010000001</v>
      </c>
      <c r="I10" s="331">
        <f>SUM(I12:I39)</f>
        <v>3302802.72</v>
      </c>
      <c r="J10" s="331">
        <f>SUM(J12:J39)</f>
        <v>246032.97999999998</v>
      </c>
      <c r="K10" s="253">
        <f>SUM(K12:K39)</f>
        <v>4396320.65</v>
      </c>
      <c r="L10" s="253">
        <f>SUM(L12:L39)</f>
        <v>1478449.56</v>
      </c>
      <c r="P10" s="16"/>
    </row>
    <row r="11" spans="1:16" ht="12.75">
      <c r="A11" s="3"/>
      <c r="B11" s="3"/>
      <c r="C11" s="3"/>
      <c r="D11" s="3"/>
      <c r="E11" s="3"/>
      <c r="F11" s="3"/>
      <c r="G11" s="3"/>
      <c r="H11" s="3"/>
      <c r="I11" s="226"/>
      <c r="J11" s="249"/>
      <c r="K11" s="249"/>
      <c r="L11" s="249"/>
      <c r="P11" s="3"/>
    </row>
    <row r="12" spans="1:16" ht="12.75">
      <c r="A12" s="3" t="s">
        <v>1</v>
      </c>
      <c r="B12" s="154">
        <v>2196990.62</v>
      </c>
      <c r="C12" s="154">
        <v>100878.2</v>
      </c>
      <c r="D12" s="154">
        <v>0</v>
      </c>
      <c r="E12" s="154">
        <v>93146</v>
      </c>
      <c r="F12" s="154">
        <v>1227436.27</v>
      </c>
      <c r="G12" s="154">
        <v>26329.72</v>
      </c>
      <c r="H12" s="154">
        <v>124518.98000000001</v>
      </c>
      <c r="I12" s="154">
        <v>0</v>
      </c>
      <c r="J12" s="358">
        <v>16869</v>
      </c>
      <c r="K12" s="154">
        <v>381272.71</v>
      </c>
      <c r="L12" s="154">
        <v>201421.64</v>
      </c>
      <c r="P12" s="15"/>
    </row>
    <row r="13" spans="1:16" ht="12.75">
      <c r="A13" s="3" t="s">
        <v>2</v>
      </c>
      <c r="B13" s="154">
        <v>15658398.5</v>
      </c>
      <c r="C13" s="154">
        <v>440304.12</v>
      </c>
      <c r="D13" s="154">
        <v>0</v>
      </c>
      <c r="E13" s="154">
        <v>622095.67</v>
      </c>
      <c r="F13" s="154">
        <v>8022674.85</v>
      </c>
      <c r="G13" s="154">
        <v>327986.69</v>
      </c>
      <c r="H13" s="154">
        <v>983447.28</v>
      </c>
      <c r="I13" s="154">
        <v>9209.18</v>
      </c>
      <c r="J13" s="397">
        <v>13316.86</v>
      </c>
      <c r="K13" s="154">
        <v>40515.7</v>
      </c>
      <c r="L13" s="389">
        <v>0</v>
      </c>
      <c r="P13" s="15"/>
    </row>
    <row r="14" spans="1:16" s="23" customFormat="1" ht="12.75">
      <c r="A14" s="32" t="s">
        <v>3</v>
      </c>
      <c r="B14" s="154">
        <v>17450319.72</v>
      </c>
      <c r="C14" s="154">
        <v>906586.94</v>
      </c>
      <c r="D14" s="154">
        <v>0</v>
      </c>
      <c r="E14" s="358">
        <v>0</v>
      </c>
      <c r="F14" s="358">
        <v>16776422.599999998</v>
      </c>
      <c r="G14" s="154">
        <v>639644.63</v>
      </c>
      <c r="H14" s="154">
        <v>291014.26</v>
      </c>
      <c r="I14" s="154">
        <v>3293593.54</v>
      </c>
      <c r="J14" s="358">
        <v>24871.04</v>
      </c>
      <c r="K14" s="154">
        <v>0</v>
      </c>
      <c r="L14" s="154">
        <v>0</v>
      </c>
      <c r="P14" s="49"/>
    </row>
    <row r="15" spans="1:16" ht="12.75">
      <c r="A15" s="3" t="s">
        <v>4</v>
      </c>
      <c r="B15" s="154">
        <v>24641344.6</v>
      </c>
      <c r="C15" s="154">
        <v>671113.3099999999</v>
      </c>
      <c r="D15" s="154">
        <v>0</v>
      </c>
      <c r="E15" s="154">
        <v>857476.42</v>
      </c>
      <c r="F15" s="154">
        <v>12233814.629999999</v>
      </c>
      <c r="G15" s="154">
        <v>767835.3999999999</v>
      </c>
      <c r="H15" s="154">
        <v>1607681.67</v>
      </c>
      <c r="I15" s="154"/>
      <c r="J15" s="154">
        <v>21000</v>
      </c>
      <c r="K15" s="154">
        <v>0</v>
      </c>
      <c r="L15" s="154">
        <v>86908.72</v>
      </c>
      <c r="P15" s="15"/>
    </row>
    <row r="16" spans="1:16" ht="12.75">
      <c r="A16" s="3" t="s">
        <v>5</v>
      </c>
      <c r="B16" s="154">
        <v>3134004.3899999997</v>
      </c>
      <c r="C16" s="154">
        <v>106467.29</v>
      </c>
      <c r="D16" s="154">
        <v>0</v>
      </c>
      <c r="E16" s="154">
        <v>14195.09</v>
      </c>
      <c r="F16" s="154">
        <v>1307106.3</v>
      </c>
      <c r="G16" s="358">
        <v>13344.01</v>
      </c>
      <c r="H16" s="358">
        <v>141133.2</v>
      </c>
      <c r="I16" s="154">
        <v>0</v>
      </c>
      <c r="J16" s="154">
        <v>0</v>
      </c>
      <c r="K16" s="154">
        <v>0</v>
      </c>
      <c r="L16" s="154">
        <v>0</v>
      </c>
      <c r="P16" s="15"/>
    </row>
    <row r="17" spans="1:16" ht="12.75">
      <c r="A17" s="3"/>
      <c r="B17" s="154"/>
      <c r="C17" s="154"/>
      <c r="D17" s="154"/>
      <c r="E17" s="154"/>
      <c r="F17" s="154"/>
      <c r="G17" s="154"/>
      <c r="H17" s="154"/>
      <c r="I17" s="172"/>
      <c r="J17" s="154"/>
      <c r="K17" s="154"/>
      <c r="L17" s="154"/>
      <c r="P17" s="15"/>
    </row>
    <row r="18" spans="1:16" ht="12.75">
      <c r="A18" s="3" t="s">
        <v>6</v>
      </c>
      <c r="B18" s="154">
        <v>1300423.32</v>
      </c>
      <c r="C18" s="154">
        <v>62270.06000000001</v>
      </c>
      <c r="D18" s="154">
        <v>0</v>
      </c>
      <c r="E18" s="154">
        <v>42956.07</v>
      </c>
      <c r="F18" s="154">
        <v>487006.08</v>
      </c>
      <c r="G18" s="154">
        <v>8872.97</v>
      </c>
      <c r="H18" s="154">
        <v>63608.18</v>
      </c>
      <c r="I18" s="154">
        <v>0</v>
      </c>
      <c r="J18" s="154">
        <v>13534</v>
      </c>
      <c r="K18" s="154">
        <v>0</v>
      </c>
      <c r="L18" s="154">
        <v>0</v>
      </c>
      <c r="P18" s="15"/>
    </row>
    <row r="19" spans="1:16" ht="12.75">
      <c r="A19" s="3" t="s">
        <v>7</v>
      </c>
      <c r="B19" s="358">
        <v>3287057.4800000004</v>
      </c>
      <c r="C19" s="154">
        <v>42020.700000000004</v>
      </c>
      <c r="D19" s="154">
        <v>0</v>
      </c>
      <c r="E19" s="154">
        <v>0</v>
      </c>
      <c r="F19" s="154">
        <v>4150346.9</v>
      </c>
      <c r="G19" s="154">
        <v>239770</v>
      </c>
      <c r="H19" s="154">
        <v>444132.27</v>
      </c>
      <c r="I19" s="154">
        <v>0</v>
      </c>
      <c r="J19" s="154">
        <v>5105.65</v>
      </c>
      <c r="K19" s="154">
        <v>0</v>
      </c>
      <c r="L19" s="154">
        <v>0</v>
      </c>
      <c r="P19" s="15"/>
    </row>
    <row r="20" spans="1:16" ht="12.75">
      <c r="A20" s="3" t="s">
        <v>8</v>
      </c>
      <c r="B20" s="154">
        <v>3564770.5</v>
      </c>
      <c r="C20" s="154">
        <v>116852.37000000001</v>
      </c>
      <c r="D20" s="154">
        <v>0</v>
      </c>
      <c r="E20" s="154">
        <v>99773.95</v>
      </c>
      <c r="F20" s="154">
        <v>2225303.1999999997</v>
      </c>
      <c r="G20" s="154">
        <v>70959.72</v>
      </c>
      <c r="H20" s="154">
        <v>282598.45</v>
      </c>
      <c r="I20" s="154">
        <v>0</v>
      </c>
      <c r="J20" s="154">
        <v>14902.42</v>
      </c>
      <c r="K20" s="154">
        <v>0</v>
      </c>
      <c r="L20" s="154">
        <v>0</v>
      </c>
      <c r="P20" s="15"/>
    </row>
    <row r="21" spans="1:16" ht="12.75">
      <c r="A21" s="3" t="s">
        <v>9</v>
      </c>
      <c r="B21" s="154">
        <v>4727574.04</v>
      </c>
      <c r="C21" s="154">
        <v>91539.16</v>
      </c>
      <c r="D21" s="154">
        <v>70710</v>
      </c>
      <c r="E21" s="154">
        <v>0</v>
      </c>
      <c r="F21" s="154">
        <v>3123252.04</v>
      </c>
      <c r="G21" s="154">
        <v>19888.58</v>
      </c>
      <c r="H21" s="154">
        <v>92359.15</v>
      </c>
      <c r="I21" s="154">
        <v>0</v>
      </c>
      <c r="J21" s="154">
        <v>0</v>
      </c>
      <c r="K21" s="154">
        <v>0</v>
      </c>
      <c r="L21" s="154">
        <v>0</v>
      </c>
      <c r="P21" s="15"/>
    </row>
    <row r="22" spans="1:16" ht="12.75">
      <c r="A22" s="3" t="s">
        <v>10</v>
      </c>
      <c r="B22" s="154">
        <v>1002824.51</v>
      </c>
      <c r="C22" s="154">
        <v>34139</v>
      </c>
      <c r="D22" s="154">
        <v>0</v>
      </c>
      <c r="E22" s="154">
        <v>34446.31</v>
      </c>
      <c r="F22" s="154">
        <v>238241.19</v>
      </c>
      <c r="G22" s="154">
        <v>4075.11</v>
      </c>
      <c r="H22" s="154">
        <v>26271.64</v>
      </c>
      <c r="I22" s="154">
        <v>0</v>
      </c>
      <c r="J22" s="154">
        <v>9386.82</v>
      </c>
      <c r="K22" s="154">
        <v>0</v>
      </c>
      <c r="L22" s="154">
        <v>0</v>
      </c>
      <c r="P22" s="15"/>
    </row>
    <row r="23" spans="1:16" ht="12.75">
      <c r="A23" s="3"/>
      <c r="B23" s="154"/>
      <c r="C23" s="154"/>
      <c r="D23" s="154"/>
      <c r="E23" s="154"/>
      <c r="F23" s="154"/>
      <c r="G23" s="154"/>
      <c r="H23" s="154"/>
      <c r="I23" s="172"/>
      <c r="J23" s="154"/>
      <c r="K23" s="154"/>
      <c r="L23" s="154"/>
      <c r="P23" s="15"/>
    </row>
    <row r="24" spans="1:16" ht="12.75">
      <c r="A24" s="3" t="s">
        <v>11</v>
      </c>
      <c r="B24" s="154">
        <v>7714655.35</v>
      </c>
      <c r="C24" s="154">
        <v>139313.49</v>
      </c>
      <c r="D24" s="154">
        <v>0</v>
      </c>
      <c r="E24" s="154">
        <v>0</v>
      </c>
      <c r="F24" s="154">
        <v>4493573.6</v>
      </c>
      <c r="G24" s="154">
        <v>84018.47</v>
      </c>
      <c r="H24" s="154">
        <v>0</v>
      </c>
      <c r="I24" s="154">
        <v>0</v>
      </c>
      <c r="J24" s="154">
        <v>0</v>
      </c>
      <c r="K24" s="154">
        <v>125490.26</v>
      </c>
      <c r="L24" s="154">
        <v>0</v>
      </c>
      <c r="P24" s="15"/>
    </row>
    <row r="25" spans="1:16" ht="12.75">
      <c r="A25" s="3" t="s">
        <v>12</v>
      </c>
      <c r="B25" s="154">
        <v>1147956.18</v>
      </c>
      <c r="C25" s="154">
        <v>61480.53</v>
      </c>
      <c r="D25" s="154">
        <v>0</v>
      </c>
      <c r="E25" s="154">
        <v>2914</v>
      </c>
      <c r="F25" s="154">
        <v>368408.76</v>
      </c>
      <c r="G25" s="154">
        <v>26981.24</v>
      </c>
      <c r="H25" s="154">
        <v>0</v>
      </c>
      <c r="I25" s="154">
        <v>0</v>
      </c>
      <c r="J25" s="154">
        <v>0</v>
      </c>
      <c r="K25" s="154">
        <v>0</v>
      </c>
      <c r="L25" s="388">
        <v>333783.47</v>
      </c>
      <c r="P25" s="15"/>
    </row>
    <row r="26" spans="1:16" ht="12.75">
      <c r="A26" s="3" t="s">
        <v>13</v>
      </c>
      <c r="B26" s="154">
        <v>7189964.419999999</v>
      </c>
      <c r="C26" s="154">
        <v>135929.22</v>
      </c>
      <c r="D26" s="154">
        <v>0</v>
      </c>
      <c r="E26" s="154">
        <v>185247.87</v>
      </c>
      <c r="F26" s="154">
        <v>4921076.29</v>
      </c>
      <c r="G26" s="154">
        <v>180577.47</v>
      </c>
      <c r="H26" s="154">
        <v>531644.19</v>
      </c>
      <c r="I26" s="154">
        <v>0</v>
      </c>
      <c r="J26" s="154">
        <v>15000</v>
      </c>
      <c r="K26" s="154">
        <v>349650.11</v>
      </c>
      <c r="L26" s="154">
        <v>0</v>
      </c>
      <c r="P26" s="15"/>
    </row>
    <row r="27" spans="1:16" ht="12.75">
      <c r="A27" s="3" t="s">
        <v>14</v>
      </c>
      <c r="B27" s="154">
        <v>8906891.390000002</v>
      </c>
      <c r="C27" s="154">
        <v>277438.54</v>
      </c>
      <c r="D27" s="154">
        <v>0</v>
      </c>
      <c r="E27" s="154">
        <v>190318.88999999998</v>
      </c>
      <c r="F27" s="154">
        <v>3735117.01</v>
      </c>
      <c r="G27" s="154">
        <v>137428.87</v>
      </c>
      <c r="H27" s="154">
        <v>607810.37</v>
      </c>
      <c r="I27" s="154">
        <v>0</v>
      </c>
      <c r="J27" s="154">
        <v>0</v>
      </c>
      <c r="K27" s="154">
        <v>1235896.6400000001</v>
      </c>
      <c r="L27" s="154">
        <v>0</v>
      </c>
      <c r="P27" s="15"/>
    </row>
    <row r="28" spans="1:16" ht="12.75">
      <c r="A28" s="3" t="s">
        <v>15</v>
      </c>
      <c r="B28" s="154">
        <v>646357.84</v>
      </c>
      <c r="C28" s="154">
        <v>32623.29</v>
      </c>
      <c r="D28" s="154">
        <v>0</v>
      </c>
      <c r="E28" s="154">
        <v>8317</v>
      </c>
      <c r="F28" s="154">
        <v>86424.21</v>
      </c>
      <c r="G28" s="154">
        <v>3430.67</v>
      </c>
      <c r="H28" s="154">
        <v>16138.29</v>
      </c>
      <c r="I28" s="154">
        <v>0</v>
      </c>
      <c r="J28" s="154">
        <v>12872.01</v>
      </c>
      <c r="K28" s="154">
        <v>169737.79</v>
      </c>
      <c r="L28" s="154">
        <v>0</v>
      </c>
      <c r="P28" s="15"/>
    </row>
    <row r="29" spans="1:16" ht="12.75">
      <c r="A29" s="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P29" s="15"/>
    </row>
    <row r="30" spans="1:16" ht="12.75">
      <c r="A30" s="3" t="s">
        <v>16</v>
      </c>
      <c r="B30" s="154">
        <v>28779370.18</v>
      </c>
      <c r="C30" s="154">
        <v>823103.09</v>
      </c>
      <c r="D30" s="154">
        <v>0</v>
      </c>
      <c r="E30" s="154">
        <v>0</v>
      </c>
      <c r="F30" s="154">
        <v>14557539.22</v>
      </c>
      <c r="G30" s="154">
        <v>782697.11</v>
      </c>
      <c r="H30" s="154">
        <v>1241598.37</v>
      </c>
      <c r="I30" s="154">
        <v>0</v>
      </c>
      <c r="J30" s="154">
        <v>21869</v>
      </c>
      <c r="K30" s="154">
        <v>325113.94</v>
      </c>
      <c r="L30" s="154">
        <v>0</v>
      </c>
      <c r="P30" s="15"/>
    </row>
    <row r="31" spans="1:16" ht="12.75">
      <c r="A31" s="3" t="s">
        <v>17</v>
      </c>
      <c r="B31" s="154">
        <v>23373485.119999997</v>
      </c>
      <c r="C31" s="154">
        <v>539785.79</v>
      </c>
      <c r="D31" s="154">
        <v>0</v>
      </c>
      <c r="E31" s="154">
        <v>0</v>
      </c>
      <c r="F31" s="154">
        <v>15956862.219999999</v>
      </c>
      <c r="G31" s="154">
        <v>317406.79</v>
      </c>
      <c r="H31" s="154">
        <v>0</v>
      </c>
      <c r="I31" s="154">
        <v>0</v>
      </c>
      <c r="J31" s="154">
        <v>0</v>
      </c>
      <c r="K31" s="154">
        <v>0</v>
      </c>
      <c r="L31" s="154">
        <v>404608.61</v>
      </c>
      <c r="P31" s="15"/>
    </row>
    <row r="32" spans="1:16" s="55" customFormat="1" ht="12.75">
      <c r="A32" s="54" t="s">
        <v>18</v>
      </c>
      <c r="B32" s="154">
        <v>1635498.26</v>
      </c>
      <c r="C32" s="154">
        <v>32857.13</v>
      </c>
      <c r="D32" s="154">
        <v>0</v>
      </c>
      <c r="E32" s="154">
        <v>51287.95</v>
      </c>
      <c r="F32" s="154">
        <v>859775.92</v>
      </c>
      <c r="G32" s="154">
        <v>30466.84</v>
      </c>
      <c r="H32" s="154">
        <v>100377.04</v>
      </c>
      <c r="I32" s="154">
        <v>0</v>
      </c>
      <c r="J32" s="154">
        <v>10348</v>
      </c>
      <c r="K32" s="154">
        <v>29012.07</v>
      </c>
      <c r="L32" s="154">
        <v>0</v>
      </c>
      <c r="M32" s="71"/>
      <c r="P32" s="354"/>
    </row>
    <row r="33" spans="1:16" ht="12.75">
      <c r="A33" s="3" t="s">
        <v>19</v>
      </c>
      <c r="B33" s="154">
        <v>3599189.8200000003</v>
      </c>
      <c r="C33" s="154">
        <v>111830.99</v>
      </c>
      <c r="D33" s="154">
        <v>0</v>
      </c>
      <c r="E33" s="154">
        <v>0</v>
      </c>
      <c r="F33" s="154">
        <v>807238.83</v>
      </c>
      <c r="G33" s="154">
        <v>29486.85</v>
      </c>
      <c r="H33" s="154">
        <v>0</v>
      </c>
      <c r="I33" s="154">
        <v>0</v>
      </c>
      <c r="J33" s="154">
        <v>11220.07</v>
      </c>
      <c r="K33" s="154">
        <v>322650.87000000005</v>
      </c>
      <c r="L33" s="154">
        <v>0</v>
      </c>
      <c r="P33" s="15"/>
    </row>
    <row r="34" spans="1:16" ht="12.75">
      <c r="A34" s="3" t="s">
        <v>20</v>
      </c>
      <c r="B34" s="154">
        <v>774824.73</v>
      </c>
      <c r="C34" s="154">
        <v>31530.6</v>
      </c>
      <c r="D34" s="154">
        <v>0</v>
      </c>
      <c r="E34" s="154">
        <v>6483.29</v>
      </c>
      <c r="F34" s="154">
        <v>312989.74</v>
      </c>
      <c r="G34" s="154">
        <v>25554.43</v>
      </c>
      <c r="H34" s="154">
        <v>29779.519999999997</v>
      </c>
      <c r="I34" s="154">
        <v>0</v>
      </c>
      <c r="J34" s="154">
        <v>0</v>
      </c>
      <c r="K34" s="154">
        <v>65007.35</v>
      </c>
      <c r="L34" s="154">
        <v>237858.37</v>
      </c>
      <c r="P34" s="15"/>
    </row>
    <row r="35" spans="1:16" ht="12.75">
      <c r="A35" s="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P35" s="15"/>
    </row>
    <row r="36" spans="1:16" ht="12.75">
      <c r="A36" s="3" t="s">
        <v>21</v>
      </c>
      <c r="B36" s="154">
        <v>1134620.2000000002</v>
      </c>
      <c r="C36" s="154">
        <v>8732.640000000001</v>
      </c>
      <c r="D36" s="154">
        <v>0</v>
      </c>
      <c r="E36" s="154">
        <v>34247.69</v>
      </c>
      <c r="F36" s="154">
        <v>343774.25</v>
      </c>
      <c r="G36" s="154">
        <v>0</v>
      </c>
      <c r="H36" s="154">
        <v>38113.9</v>
      </c>
      <c r="I36" s="154">
        <v>0</v>
      </c>
      <c r="J36" s="154">
        <v>17280.63</v>
      </c>
      <c r="K36" s="154">
        <v>0</v>
      </c>
      <c r="L36" s="154">
        <v>0</v>
      </c>
      <c r="P36" s="15"/>
    </row>
    <row r="37" spans="1:16" ht="12.75">
      <c r="A37" s="3" t="s">
        <v>22</v>
      </c>
      <c r="B37" s="154">
        <v>5154927.2299999995</v>
      </c>
      <c r="C37" s="154">
        <v>106437.86</v>
      </c>
      <c r="D37" s="154">
        <v>0</v>
      </c>
      <c r="E37" s="154">
        <v>99212.41</v>
      </c>
      <c r="F37" s="154">
        <v>2403628.0700000003</v>
      </c>
      <c r="G37" s="154">
        <v>46354.909999999996</v>
      </c>
      <c r="H37" s="154">
        <v>257520.63</v>
      </c>
      <c r="I37" s="154">
        <v>0</v>
      </c>
      <c r="J37" s="154">
        <v>14874.09</v>
      </c>
      <c r="K37" s="154">
        <v>0</v>
      </c>
      <c r="L37" s="154">
        <v>0</v>
      </c>
      <c r="P37" s="15"/>
    </row>
    <row r="38" spans="1:16" ht="12.75">
      <c r="A38" s="3" t="s">
        <v>23</v>
      </c>
      <c r="B38" s="154">
        <v>2907589.9699999997</v>
      </c>
      <c r="C38" s="154">
        <v>49996.53</v>
      </c>
      <c r="D38" s="154">
        <v>0</v>
      </c>
      <c r="E38" s="154">
        <v>87268.17</v>
      </c>
      <c r="F38" s="154">
        <v>2072022.6</v>
      </c>
      <c r="G38" s="154">
        <v>68697.91</v>
      </c>
      <c r="H38" s="154">
        <v>225299.72999999998</v>
      </c>
      <c r="I38" s="154">
        <v>0</v>
      </c>
      <c r="J38" s="154">
        <v>9829.39</v>
      </c>
      <c r="K38" s="154">
        <v>517249.04</v>
      </c>
      <c r="L38" s="154">
        <v>213868.75</v>
      </c>
      <c r="P38" s="15"/>
    </row>
    <row r="39" spans="1:16" ht="12.75">
      <c r="A39" s="12" t="s">
        <v>24</v>
      </c>
      <c r="B39" s="155">
        <v>1216121.39</v>
      </c>
      <c r="C39" s="393">
        <v>42780.68</v>
      </c>
      <c r="D39" s="155">
        <v>0</v>
      </c>
      <c r="E39" s="155">
        <v>24009.8</v>
      </c>
      <c r="F39" s="155">
        <v>988808.63</v>
      </c>
      <c r="G39" s="155">
        <v>6294.48</v>
      </c>
      <c r="H39" s="155">
        <v>45876.89</v>
      </c>
      <c r="I39" s="155">
        <v>0</v>
      </c>
      <c r="J39" s="155">
        <v>13754</v>
      </c>
      <c r="K39" s="155">
        <v>834724.1699999999</v>
      </c>
      <c r="L39" s="155">
        <v>0</v>
      </c>
      <c r="P39" s="15"/>
    </row>
    <row r="40" spans="1:16" ht="12.75">
      <c r="A40" s="3"/>
      <c r="B40" s="32"/>
      <c r="C40" s="32"/>
      <c r="D40" s="32"/>
      <c r="E40" s="32"/>
      <c r="F40" s="32"/>
      <c r="G40" s="32"/>
      <c r="H40" s="32"/>
      <c r="I40" s="32"/>
      <c r="J40" s="49"/>
      <c r="K40" s="23"/>
      <c r="L40" s="49"/>
      <c r="P40" s="15"/>
    </row>
    <row r="41" spans="1:17" ht="12.75">
      <c r="A41" s="3"/>
      <c r="B41" s="32"/>
      <c r="C41" s="32"/>
      <c r="D41" s="32"/>
      <c r="E41" s="32"/>
      <c r="F41" s="32"/>
      <c r="G41" s="32"/>
      <c r="H41" s="32"/>
      <c r="I41" s="32"/>
      <c r="J41" s="32"/>
      <c r="K41" s="23"/>
      <c r="L41" s="49"/>
      <c r="Q41" s="15"/>
    </row>
    <row r="42" spans="1:17" ht="12.75">
      <c r="A42" s="3"/>
      <c r="B42" s="3"/>
      <c r="C42" s="3"/>
      <c r="D42" s="3"/>
      <c r="E42" s="3"/>
      <c r="F42" s="3"/>
      <c r="G42" s="3"/>
      <c r="H42" s="3"/>
      <c r="I42" s="226"/>
      <c r="J42" s="226"/>
      <c r="L42" s="228"/>
      <c r="Q42" s="15"/>
    </row>
    <row r="43" spans="1:17" ht="12.75">
      <c r="A43" s="3"/>
      <c r="B43" s="3"/>
      <c r="C43" s="3"/>
      <c r="D43" s="3"/>
      <c r="E43" s="3"/>
      <c r="F43" s="3"/>
      <c r="G43" s="3"/>
      <c r="H43" s="3"/>
      <c r="I43" s="226"/>
      <c r="J43" s="226"/>
      <c r="L43" s="228"/>
      <c r="Q43" s="15"/>
    </row>
    <row r="44" spans="1:17" ht="12.75">
      <c r="A44" s="3"/>
      <c r="B44" s="3"/>
      <c r="C44" s="3"/>
      <c r="D44" s="3"/>
      <c r="E44" s="3"/>
      <c r="F44" s="3"/>
      <c r="G44" s="3"/>
      <c r="H44" s="3"/>
      <c r="I44" s="226"/>
      <c r="J44" s="226"/>
      <c r="K44" s="309"/>
      <c r="L44" s="228"/>
      <c r="Q44" s="15"/>
    </row>
    <row r="45" spans="1:17" ht="12.75">
      <c r="A45" s="3"/>
      <c r="B45" s="3"/>
      <c r="C45" s="3"/>
      <c r="D45" s="3"/>
      <c r="E45" s="3"/>
      <c r="F45" s="3"/>
      <c r="G45" s="3"/>
      <c r="H45" s="3"/>
      <c r="I45" s="226"/>
      <c r="J45" s="226"/>
      <c r="L45" s="228"/>
      <c r="Q45" s="15"/>
    </row>
    <row r="46" spans="1:17" ht="12.75">
      <c r="A46" s="3"/>
      <c r="B46" s="3"/>
      <c r="C46" s="3"/>
      <c r="D46" s="3"/>
      <c r="E46" s="3"/>
      <c r="F46" s="3"/>
      <c r="G46" s="3"/>
      <c r="H46" s="3"/>
      <c r="I46" s="226"/>
      <c r="J46" s="226"/>
      <c r="L46" s="228"/>
      <c r="Q46" s="15"/>
    </row>
    <row r="47" spans="1:17" ht="12.75">
      <c r="A47" s="3"/>
      <c r="B47" s="3"/>
      <c r="C47" s="3"/>
      <c r="D47" s="3"/>
      <c r="E47" s="3"/>
      <c r="F47" s="3"/>
      <c r="G47" s="3"/>
      <c r="H47" s="3"/>
      <c r="I47" s="226"/>
      <c r="J47" s="226"/>
      <c r="L47" s="228"/>
      <c r="Q47" s="15"/>
    </row>
    <row r="48" spans="1:17" ht="12.75">
      <c r="A48" s="3"/>
      <c r="B48" s="3"/>
      <c r="C48" s="3"/>
      <c r="D48" s="3"/>
      <c r="E48" s="3"/>
      <c r="F48" s="3"/>
      <c r="G48" s="3"/>
      <c r="H48" s="3"/>
      <c r="I48" s="226"/>
      <c r="J48" s="226"/>
      <c r="L48" s="228"/>
      <c r="Q48" s="15"/>
    </row>
    <row r="49" spans="1:17" ht="12.75">
      <c r="A49" s="3"/>
      <c r="B49" s="3"/>
      <c r="C49" s="3"/>
      <c r="D49" s="3"/>
      <c r="E49" s="3"/>
      <c r="F49" s="3"/>
      <c r="G49" s="3"/>
      <c r="H49" s="3"/>
      <c r="I49" s="226"/>
      <c r="J49" s="226"/>
      <c r="L49" s="228"/>
      <c r="Q49" s="15"/>
    </row>
    <row r="50" spans="1:17" ht="12.75">
      <c r="A50" s="3"/>
      <c r="B50" s="3"/>
      <c r="C50" s="3"/>
      <c r="D50" s="3"/>
      <c r="E50" s="3"/>
      <c r="F50" s="3"/>
      <c r="G50" s="3"/>
      <c r="H50" s="3"/>
      <c r="I50" s="226"/>
      <c r="J50" s="226"/>
      <c r="K50" s="226"/>
      <c r="L50" s="228"/>
      <c r="Q50" s="15"/>
    </row>
    <row r="51" spans="1:17" ht="12.75">
      <c r="A51" s="3"/>
      <c r="B51" s="3"/>
      <c r="C51" s="3"/>
      <c r="D51" s="3"/>
      <c r="E51" s="3"/>
      <c r="F51" s="3"/>
      <c r="G51" s="3"/>
      <c r="H51" s="3"/>
      <c r="I51" s="226"/>
      <c r="J51" s="226"/>
      <c r="K51" s="226"/>
      <c r="L51" s="228"/>
      <c r="Q51" s="15"/>
    </row>
    <row r="52" spans="1:11" ht="12.75">
      <c r="A52" s="3"/>
      <c r="B52" s="3"/>
      <c r="C52" s="3"/>
      <c r="D52" s="3"/>
      <c r="E52" s="3"/>
      <c r="F52" s="3"/>
      <c r="G52" s="3"/>
      <c r="H52" s="3"/>
      <c r="I52" s="226"/>
      <c r="J52" s="226"/>
      <c r="K52" s="226"/>
    </row>
    <row r="53" spans="1:11" ht="12.75">
      <c r="A53" s="3"/>
      <c r="B53" s="3"/>
      <c r="C53" s="3"/>
      <c r="D53" s="3"/>
      <c r="E53" s="3"/>
      <c r="F53" s="3"/>
      <c r="G53" s="3"/>
      <c r="H53" s="3"/>
      <c r="I53" s="226"/>
      <c r="J53" s="226"/>
      <c r="K53" s="226"/>
    </row>
    <row r="54" spans="1:11" ht="12.75">
      <c r="A54" s="3"/>
      <c r="B54" s="3"/>
      <c r="C54" s="3"/>
      <c r="D54" s="3"/>
      <c r="E54" s="3"/>
      <c r="F54" s="3"/>
      <c r="G54" s="3"/>
      <c r="H54" s="3"/>
      <c r="I54" s="226"/>
      <c r="J54" s="226"/>
      <c r="K54" s="226"/>
    </row>
    <row r="55" spans="1:11" ht="12.75">
      <c r="A55" s="3"/>
      <c r="B55" s="3"/>
      <c r="C55" s="3"/>
      <c r="D55" s="3"/>
      <c r="E55" s="3"/>
      <c r="F55" s="3"/>
      <c r="G55" s="3"/>
      <c r="H55" s="3"/>
      <c r="I55" s="226"/>
      <c r="J55" s="226"/>
      <c r="K55" s="226"/>
    </row>
    <row r="56" spans="1:11" ht="12.75">
      <c r="A56" s="3"/>
      <c r="B56" s="3"/>
      <c r="C56" s="3"/>
      <c r="D56" s="3"/>
      <c r="E56" s="3"/>
      <c r="F56" s="3"/>
      <c r="G56" s="3"/>
      <c r="H56" s="3"/>
      <c r="I56" s="226"/>
      <c r="J56" s="226"/>
      <c r="K56" s="226"/>
    </row>
    <row r="57" spans="1:11" ht="12.75">
      <c r="A57" s="3"/>
      <c r="B57" s="3"/>
      <c r="C57" s="3"/>
      <c r="D57" s="3"/>
      <c r="E57" s="3"/>
      <c r="F57" s="3"/>
      <c r="G57" s="3"/>
      <c r="H57" s="3"/>
      <c r="I57" s="226"/>
      <c r="J57" s="226"/>
      <c r="K57" s="226"/>
    </row>
    <row r="58" spans="1:11" ht="12.75">
      <c r="A58" s="3"/>
      <c r="B58" s="3"/>
      <c r="C58" s="3"/>
      <c r="D58" s="3"/>
      <c r="E58" s="3"/>
      <c r="F58" s="3"/>
      <c r="G58" s="3"/>
      <c r="H58" s="3"/>
      <c r="I58" s="226"/>
      <c r="J58" s="226"/>
      <c r="K58" s="226"/>
    </row>
    <row r="59" spans="1:11" ht="12.75">
      <c r="A59" s="3"/>
      <c r="B59" s="3"/>
      <c r="C59" s="3"/>
      <c r="D59" s="3"/>
      <c r="E59" s="3"/>
      <c r="F59" s="3"/>
      <c r="G59" s="3"/>
      <c r="H59" s="3"/>
      <c r="I59" s="226"/>
      <c r="J59" s="226"/>
      <c r="K59" s="226"/>
    </row>
    <row r="60" spans="1:11" ht="12.75">
      <c r="A60" s="3"/>
      <c r="B60" s="3"/>
      <c r="C60" s="3"/>
      <c r="D60" s="3"/>
      <c r="E60" s="3"/>
      <c r="F60" s="3"/>
      <c r="G60" s="3"/>
      <c r="H60" s="3"/>
      <c r="I60" s="226"/>
      <c r="J60" s="226"/>
      <c r="K60" s="226"/>
    </row>
    <row r="61" spans="1:11" ht="12.75">
      <c r="A61" s="3"/>
      <c r="B61" s="3"/>
      <c r="C61" s="3"/>
      <c r="D61" s="3"/>
      <c r="E61" s="3"/>
      <c r="F61" s="3"/>
      <c r="G61" s="3"/>
      <c r="H61" s="3"/>
      <c r="I61" s="226"/>
      <c r="J61" s="226"/>
      <c r="K61" s="226"/>
    </row>
    <row r="62" spans="1:11" ht="12.75">
      <c r="A62" s="3"/>
      <c r="B62" s="3"/>
      <c r="C62" s="3"/>
      <c r="D62" s="3"/>
      <c r="E62" s="3"/>
      <c r="F62" s="3"/>
      <c r="G62" s="3"/>
      <c r="H62" s="3"/>
      <c r="I62" s="226"/>
      <c r="J62" s="226"/>
      <c r="K62" s="226"/>
    </row>
    <row r="63" spans="1:11" ht="12.75">
      <c r="A63" s="3"/>
      <c r="B63" s="3"/>
      <c r="C63" s="3"/>
      <c r="D63" s="3"/>
      <c r="E63" s="3"/>
      <c r="F63" s="3"/>
      <c r="G63" s="3"/>
      <c r="H63" s="3"/>
      <c r="I63" s="226"/>
      <c r="J63" s="226"/>
      <c r="K63" s="226"/>
    </row>
    <row r="64" spans="1:11" ht="12.75">
      <c r="A64" s="3"/>
      <c r="B64" s="3"/>
      <c r="C64" s="3"/>
      <c r="D64" s="3"/>
      <c r="E64" s="3"/>
      <c r="F64" s="3"/>
      <c r="G64" s="3"/>
      <c r="H64" s="3"/>
      <c r="I64" s="226"/>
      <c r="J64" s="226"/>
      <c r="K64" s="226"/>
    </row>
    <row r="65" spans="1:11" ht="12.75">
      <c r="A65" s="3"/>
      <c r="B65" s="3"/>
      <c r="C65" s="3"/>
      <c r="D65" s="3"/>
      <c r="E65" s="3"/>
      <c r="F65" s="3"/>
      <c r="G65" s="3"/>
      <c r="H65" s="3"/>
      <c r="I65" s="226"/>
      <c r="J65" s="226"/>
      <c r="K65" s="226"/>
    </row>
    <row r="66" spans="1:10" ht="12.75">
      <c r="A66" s="3"/>
      <c r="B66" s="3"/>
      <c r="C66" s="3"/>
      <c r="D66" s="3"/>
      <c r="E66" s="3"/>
      <c r="F66" s="3"/>
      <c r="G66" s="3"/>
      <c r="H66" s="3"/>
      <c r="I66" s="226"/>
      <c r="J66" s="226"/>
    </row>
    <row r="67" spans="1:10" ht="12.75">
      <c r="A67" s="3"/>
      <c r="B67" s="3"/>
      <c r="C67" s="3"/>
      <c r="D67" s="3"/>
      <c r="E67" s="3"/>
      <c r="F67" s="3"/>
      <c r="G67" s="3"/>
      <c r="H67" s="3"/>
      <c r="I67" s="226"/>
      <c r="J67" s="226"/>
    </row>
    <row r="68" spans="1:10" ht="12.75">
      <c r="A68" s="3"/>
      <c r="B68" s="3"/>
      <c r="C68" s="3"/>
      <c r="D68" s="3"/>
      <c r="E68" s="3"/>
      <c r="F68" s="3"/>
      <c r="G68" s="3"/>
      <c r="H68" s="3"/>
      <c r="I68" s="226"/>
      <c r="J68" s="226"/>
    </row>
    <row r="69" spans="1:11" ht="12.75">
      <c r="A69" s="3"/>
      <c r="B69" s="3"/>
      <c r="C69" s="3"/>
      <c r="D69" s="3"/>
      <c r="E69" s="3"/>
      <c r="F69" s="3"/>
      <c r="G69" s="3"/>
      <c r="H69" s="3"/>
      <c r="I69" s="226"/>
      <c r="J69" s="226"/>
      <c r="K69" s="226"/>
    </row>
    <row r="70" spans="1:11" ht="12.75">
      <c r="A70" s="3"/>
      <c r="B70" s="3"/>
      <c r="C70" s="3"/>
      <c r="D70" s="3"/>
      <c r="E70" s="3"/>
      <c r="F70" s="3"/>
      <c r="G70" s="3"/>
      <c r="H70" s="3"/>
      <c r="I70" s="226"/>
      <c r="J70" s="226"/>
      <c r="K70" s="226"/>
    </row>
    <row r="71" spans="1:11" ht="12.75">
      <c r="A71" s="3"/>
      <c r="B71" s="3"/>
      <c r="C71" s="3"/>
      <c r="D71" s="3"/>
      <c r="E71" s="3"/>
      <c r="F71" s="3"/>
      <c r="G71" s="3"/>
      <c r="H71" s="3"/>
      <c r="I71" s="226"/>
      <c r="J71" s="226"/>
      <c r="K71" s="226"/>
    </row>
    <row r="72" spans="1:11" ht="12.75">
      <c r="A72" s="3"/>
      <c r="B72" s="3"/>
      <c r="C72" s="3"/>
      <c r="D72" s="3"/>
      <c r="E72" s="3"/>
      <c r="F72" s="3"/>
      <c r="G72" s="3"/>
      <c r="H72" s="3"/>
      <c r="I72" s="226"/>
      <c r="J72" s="226"/>
      <c r="K72" s="226"/>
    </row>
    <row r="73" spans="1:11" ht="12.75">
      <c r="A73" s="3"/>
      <c r="B73" s="3"/>
      <c r="C73" s="3"/>
      <c r="D73" s="3"/>
      <c r="E73" s="3"/>
      <c r="F73" s="3"/>
      <c r="G73" s="3"/>
      <c r="H73" s="3"/>
      <c r="I73" s="226"/>
      <c r="J73" s="226"/>
      <c r="K73" s="226"/>
    </row>
    <row r="74" spans="1:11" ht="12.75">
      <c r="A74" s="3"/>
      <c r="B74" s="3"/>
      <c r="C74" s="3"/>
      <c r="D74" s="3"/>
      <c r="E74" s="3"/>
      <c r="F74" s="3"/>
      <c r="G74" s="3"/>
      <c r="H74" s="3"/>
      <c r="I74" s="226"/>
      <c r="J74" s="226"/>
      <c r="K74" s="226"/>
    </row>
    <row r="75" spans="1:11" ht="12.75">
      <c r="A75" s="3"/>
      <c r="B75" s="3"/>
      <c r="C75" s="3"/>
      <c r="D75" s="3"/>
      <c r="E75" s="3"/>
      <c r="F75" s="3"/>
      <c r="G75" s="3"/>
      <c r="H75" s="3"/>
      <c r="I75" s="226"/>
      <c r="J75" s="226"/>
      <c r="K75" s="226"/>
    </row>
    <row r="76" spans="1:11" ht="12.75">
      <c r="A76" s="3"/>
      <c r="B76" s="3"/>
      <c r="C76" s="3"/>
      <c r="D76" s="3"/>
      <c r="E76" s="3"/>
      <c r="F76" s="3"/>
      <c r="G76" s="3"/>
      <c r="H76" s="3"/>
      <c r="I76" s="226"/>
      <c r="J76" s="226"/>
      <c r="K76" s="226"/>
    </row>
    <row r="77" spans="1:11" ht="12.75">
      <c r="A77" s="3"/>
      <c r="B77" s="3"/>
      <c r="C77" s="3"/>
      <c r="D77" s="3"/>
      <c r="E77" s="3"/>
      <c r="F77" s="3"/>
      <c r="G77" s="3"/>
      <c r="H77" s="3"/>
      <c r="I77" s="226"/>
      <c r="J77" s="226"/>
      <c r="K77" s="226"/>
    </row>
    <row r="78" spans="1:11" ht="12.75">
      <c r="A78" s="3"/>
      <c r="B78" s="3"/>
      <c r="C78" s="3"/>
      <c r="D78" s="3"/>
      <c r="E78" s="3"/>
      <c r="F78" s="3"/>
      <c r="G78" s="3"/>
      <c r="H78" s="3"/>
      <c r="I78" s="226"/>
      <c r="J78" s="226"/>
      <c r="K78" s="226"/>
    </row>
    <row r="79" spans="1:11" ht="12.75">
      <c r="A79" s="3"/>
      <c r="B79" s="3"/>
      <c r="C79" s="3"/>
      <c r="D79" s="3"/>
      <c r="E79" s="3"/>
      <c r="F79" s="3"/>
      <c r="G79" s="3"/>
      <c r="H79" s="3"/>
      <c r="I79" s="226"/>
      <c r="J79" s="226"/>
      <c r="K79" s="226"/>
    </row>
  </sheetData>
  <sheetProtection password="CAF5" sheet="1" objects="1" scenarios="1"/>
  <mergeCells count="9">
    <mergeCell ref="A1:L1"/>
    <mergeCell ref="A3:L3"/>
    <mergeCell ref="K6:K9"/>
    <mergeCell ref="B5:H5"/>
    <mergeCell ref="G7:G9"/>
    <mergeCell ref="H7:H9"/>
    <mergeCell ref="F7:F9"/>
    <mergeCell ref="L6:L9"/>
    <mergeCell ref="D7:D9"/>
  </mergeCells>
  <printOptions horizontalCentered="1"/>
  <pageMargins left="0.56" right="0.49" top="0.83" bottom="1.07" header="0.67" footer="0.5"/>
  <pageSetup fitToHeight="1" fitToWidth="1" horizontalDpi="600" verticalDpi="600" orientation="landscape" scale="67" r:id="rId1"/>
  <headerFooter alignWithMargins="0">
    <oddHeader>&amp;R
</oddHeader>
    <oddFooter>&amp;L&amp;"Arial,Italic"&amp;9MSDE - LFRO  11 / 2012
&amp;C- 15 -&amp;R&amp;"Arial,Italic"&amp;9Selected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90" zoomScaleNormal="90" zoomScalePageLayoutView="0" workbookViewId="0" topLeftCell="A10">
      <selection activeCell="C27" sqref="C27:C28"/>
    </sheetView>
  </sheetViews>
  <sheetFormatPr defaultColWidth="9.140625" defaultRowHeight="12.75"/>
  <cols>
    <col min="1" max="1" width="17.28125" style="0" customWidth="1"/>
    <col min="2" max="2" width="15.00390625" style="0" customWidth="1"/>
    <col min="3" max="3" width="17.28125" style="0" customWidth="1"/>
    <col min="4" max="4" width="12.8515625" style="250" customWidth="1"/>
    <col min="5" max="5" width="14.8515625" style="250" customWidth="1"/>
    <col min="6" max="6" width="12.28125" style="250" customWidth="1"/>
    <col min="7" max="7" width="14.8515625" style="250" customWidth="1"/>
    <col min="8" max="8" width="14.57421875" style="250" customWidth="1"/>
    <col min="9" max="9" width="15.28125" style="250" customWidth="1"/>
    <col min="10" max="11" width="16.421875" style="250" customWidth="1"/>
    <col min="12" max="12" width="13.7109375" style="250" customWidth="1"/>
    <col min="13" max="13" width="14.57421875" style="250" customWidth="1"/>
    <col min="14" max="14" width="14.00390625" style="0" customWidth="1"/>
    <col min="16" max="16" width="16.140625" style="0" bestFit="1" customWidth="1"/>
    <col min="17" max="17" width="24.00390625" style="0" customWidth="1"/>
    <col min="18" max="18" width="16.421875" style="0" customWidth="1"/>
  </cols>
  <sheetData>
    <row r="1" spans="1:13" ht="12.75">
      <c r="A1" s="484" t="s">
        <v>119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3" ht="12.75">
      <c r="A2" s="3"/>
      <c r="B2" s="3"/>
      <c r="C2" s="3"/>
    </row>
    <row r="3" spans="1:13" ht="12.75">
      <c r="A3" s="490" t="s">
        <v>257</v>
      </c>
      <c r="B3" s="490"/>
      <c r="C3" s="490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spans="1:13" ht="13.5" thickBot="1">
      <c r="A4" s="11"/>
      <c r="B4" s="11"/>
      <c r="C4" s="11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13.5" thickTop="1">
      <c r="A5" s="3"/>
      <c r="B5" s="524" t="s">
        <v>152</v>
      </c>
      <c r="C5" s="501" t="s">
        <v>185</v>
      </c>
      <c r="D5" s="226"/>
      <c r="E5" s="226"/>
      <c r="F5" s="226"/>
      <c r="G5" s="227"/>
      <c r="H5" s="527" t="s">
        <v>231</v>
      </c>
      <c r="I5" s="507"/>
      <c r="J5" s="507"/>
      <c r="K5" s="507"/>
      <c r="L5" s="528"/>
      <c r="M5" s="226"/>
    </row>
    <row r="6" spans="1:13" ht="15" customHeight="1">
      <c r="A6" s="3"/>
      <c r="B6" s="525"/>
      <c r="C6" s="468"/>
      <c r="D6" s="493" t="s">
        <v>188</v>
      </c>
      <c r="E6" s="493" t="s">
        <v>186</v>
      </c>
      <c r="F6" s="493" t="s">
        <v>187</v>
      </c>
      <c r="G6" s="226"/>
      <c r="H6" s="501" t="s">
        <v>255</v>
      </c>
      <c r="I6" s="501" t="s">
        <v>256</v>
      </c>
      <c r="J6" s="501" t="s">
        <v>244</v>
      </c>
      <c r="K6" s="501" t="s">
        <v>245</v>
      </c>
      <c r="L6" s="501" t="s">
        <v>251</v>
      </c>
      <c r="M6" s="243" t="s">
        <v>36</v>
      </c>
    </row>
    <row r="7" spans="1:13" ht="12.75">
      <c r="A7" s="3" t="s">
        <v>77</v>
      </c>
      <c r="B7" s="525"/>
      <c r="C7" s="469"/>
      <c r="D7" s="454"/>
      <c r="E7" s="454"/>
      <c r="F7" s="454"/>
      <c r="G7" s="501" t="s">
        <v>183</v>
      </c>
      <c r="H7" s="469"/>
      <c r="I7" s="469"/>
      <c r="J7" s="469"/>
      <c r="K7" s="469"/>
      <c r="L7" s="469"/>
      <c r="M7" s="243" t="s">
        <v>52</v>
      </c>
    </row>
    <row r="8" spans="1:13" ht="12.75">
      <c r="A8" s="3" t="s">
        <v>33</v>
      </c>
      <c r="B8" s="525"/>
      <c r="C8" s="469"/>
      <c r="D8" s="454"/>
      <c r="E8" s="454"/>
      <c r="F8" s="454"/>
      <c r="G8" s="502"/>
      <c r="H8" s="469"/>
      <c r="I8" s="469"/>
      <c r="J8" s="469"/>
      <c r="K8" s="469"/>
      <c r="L8" s="469"/>
      <c r="M8" s="243" t="s">
        <v>51</v>
      </c>
    </row>
    <row r="9" spans="1:13" ht="13.5" thickBot="1">
      <c r="A9" s="7" t="s">
        <v>132</v>
      </c>
      <c r="B9" s="526"/>
      <c r="C9" s="470"/>
      <c r="D9" s="455"/>
      <c r="E9" s="455"/>
      <c r="F9" s="455"/>
      <c r="G9" s="482"/>
      <c r="H9" s="470"/>
      <c r="I9" s="470"/>
      <c r="J9" s="470"/>
      <c r="K9" s="470"/>
      <c r="L9" s="470"/>
      <c r="M9" s="252" t="s">
        <v>63</v>
      </c>
    </row>
    <row r="10" spans="1:13" s="332" customFormat="1" ht="12.75">
      <c r="A10" s="315" t="s">
        <v>0</v>
      </c>
      <c r="B10" s="253">
        <f>SUM(B12:B39)</f>
        <v>433147.19</v>
      </c>
      <c r="C10" s="253">
        <f>SUM(C12:C39)</f>
        <v>102730.25</v>
      </c>
      <c r="D10" s="253">
        <f aca="true" t="shared" si="0" ref="D10:M10">SUM(D12:D39)</f>
        <v>1305841.0299999998</v>
      </c>
      <c r="E10" s="331">
        <f t="shared" si="0"/>
        <v>11573820.46</v>
      </c>
      <c r="F10" s="253">
        <f t="shared" si="0"/>
        <v>659042.6000000002</v>
      </c>
      <c r="G10" s="253">
        <f>SUM(G12:G39)</f>
        <v>12401234.279999997</v>
      </c>
      <c r="H10" s="253">
        <f>SUM(H12:H39)</f>
        <v>9340336.580000002</v>
      </c>
      <c r="I10" s="253">
        <f>SUM(I12:I39)</f>
        <v>144577939.70000002</v>
      </c>
      <c r="J10" s="253">
        <f t="shared" si="0"/>
        <v>190782385.57000002</v>
      </c>
      <c r="K10" s="253">
        <f t="shared" si="0"/>
        <v>4158165.6199999996</v>
      </c>
      <c r="L10" s="253">
        <f t="shared" si="0"/>
        <v>882014.8799999999</v>
      </c>
      <c r="M10" s="253">
        <f t="shared" si="0"/>
        <v>54301541.210000016</v>
      </c>
    </row>
    <row r="11" spans="1:13" ht="12.75">
      <c r="A11" s="3"/>
      <c r="B11" s="3"/>
      <c r="C11" s="3"/>
      <c r="D11" s="249"/>
      <c r="E11" s="249"/>
      <c r="F11" s="249"/>
      <c r="G11" s="254"/>
      <c r="H11" s="254"/>
      <c r="I11" s="254"/>
      <c r="J11" s="249"/>
      <c r="K11" s="249"/>
      <c r="L11" s="249"/>
      <c r="M11" s="249" t="s">
        <v>261</v>
      </c>
    </row>
    <row r="12" spans="1:13" ht="12.75">
      <c r="A12" s="226" t="s">
        <v>1</v>
      </c>
      <c r="B12" s="154">
        <v>0</v>
      </c>
      <c r="C12" s="154">
        <v>8263.34</v>
      </c>
      <c r="D12" s="154">
        <v>32971.63</v>
      </c>
      <c r="E12" s="154">
        <v>0</v>
      </c>
      <c r="F12" s="154">
        <v>0</v>
      </c>
      <c r="G12" s="154">
        <v>377080.67</v>
      </c>
      <c r="H12" s="154">
        <v>153049.94</v>
      </c>
      <c r="I12" s="154">
        <v>2337958</v>
      </c>
      <c r="J12" s="154">
        <v>1737320</v>
      </c>
      <c r="K12" s="154">
        <v>0</v>
      </c>
      <c r="L12" s="154">
        <v>0</v>
      </c>
      <c r="M12" s="223">
        <v>1110680.7700000014</v>
      </c>
    </row>
    <row r="13" spans="1:13" ht="12.75">
      <c r="A13" s="226" t="s">
        <v>2</v>
      </c>
      <c r="B13" s="154">
        <v>0</v>
      </c>
      <c r="C13" s="154">
        <v>22728.22</v>
      </c>
      <c r="D13" s="154">
        <v>55917.03</v>
      </c>
      <c r="E13" s="154">
        <v>0</v>
      </c>
      <c r="F13" s="154">
        <v>79939.28</v>
      </c>
      <c r="G13" s="154">
        <v>2065145</v>
      </c>
      <c r="H13" s="154">
        <v>389538.62</v>
      </c>
      <c r="I13" s="154">
        <v>6840000</v>
      </c>
      <c r="J13" s="154">
        <v>11674110.02</v>
      </c>
      <c r="K13" s="154">
        <v>1289146.18</v>
      </c>
      <c r="L13" s="154">
        <v>0</v>
      </c>
      <c r="M13" s="223">
        <v>3774454.21</v>
      </c>
    </row>
    <row r="14" spans="1:13" s="23" customFormat="1" ht="12.75">
      <c r="A14" s="32" t="s">
        <v>3</v>
      </c>
      <c r="B14" s="154">
        <v>433147.19</v>
      </c>
      <c r="C14" s="154">
        <v>0</v>
      </c>
      <c r="D14" s="153">
        <v>617454.21</v>
      </c>
      <c r="E14" s="154">
        <v>0</v>
      </c>
      <c r="F14" s="154">
        <v>204780.86</v>
      </c>
      <c r="G14" s="154">
        <v>1039178.01</v>
      </c>
      <c r="H14" s="154">
        <v>2576674.9899999998</v>
      </c>
      <c r="I14" s="154">
        <v>26847050.37</v>
      </c>
      <c r="J14" s="154">
        <v>42966615.68</v>
      </c>
      <c r="K14" s="154">
        <v>810563.01</v>
      </c>
      <c r="L14" s="154">
        <v>0</v>
      </c>
      <c r="M14" s="154">
        <v>12883623.429999998</v>
      </c>
    </row>
    <row r="15" spans="1:13" ht="12.75">
      <c r="A15" s="226" t="s">
        <v>4</v>
      </c>
      <c r="B15" s="154">
        <v>0</v>
      </c>
      <c r="C15" s="154">
        <v>11879.48</v>
      </c>
      <c r="D15" s="154">
        <v>64510.01</v>
      </c>
      <c r="E15" s="154">
        <v>3299925.1000000006</v>
      </c>
      <c r="F15" s="154">
        <v>62596.83</v>
      </c>
      <c r="G15" s="358">
        <v>2453655</v>
      </c>
      <c r="H15" s="358">
        <v>3250522.84</v>
      </c>
      <c r="I15" s="358">
        <v>15381351</v>
      </c>
      <c r="J15" s="154">
        <v>12382644</v>
      </c>
      <c r="K15" s="154">
        <v>89978.45999999999</v>
      </c>
      <c r="L15" s="154">
        <v>0</v>
      </c>
      <c r="M15" s="223">
        <v>1565589.21</v>
      </c>
    </row>
    <row r="16" spans="1:13" ht="12.75">
      <c r="A16" s="226" t="s">
        <v>5</v>
      </c>
      <c r="B16" s="154">
        <v>0</v>
      </c>
      <c r="C16" s="154">
        <v>0</v>
      </c>
      <c r="D16" s="153">
        <v>7556.89</v>
      </c>
      <c r="E16" s="358">
        <v>111391.9</v>
      </c>
      <c r="F16" s="154">
        <v>0</v>
      </c>
      <c r="G16" s="154">
        <v>249033.77</v>
      </c>
      <c r="H16" s="154">
        <v>75875</v>
      </c>
      <c r="I16" s="154">
        <v>2919418.54</v>
      </c>
      <c r="J16" s="154">
        <v>2580861.4099999997</v>
      </c>
      <c r="K16" s="154">
        <v>80227.67</v>
      </c>
      <c r="L16" s="154">
        <v>0</v>
      </c>
      <c r="M16" s="223">
        <v>574814.35</v>
      </c>
    </row>
    <row r="17" spans="1:13" ht="12.75">
      <c r="A17" s="228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310"/>
    </row>
    <row r="18" spans="1:13" ht="12.75">
      <c r="A18" s="226" t="s">
        <v>6</v>
      </c>
      <c r="B18" s="154">
        <v>0</v>
      </c>
      <c r="C18" s="154">
        <v>0</v>
      </c>
      <c r="D18" s="154">
        <v>7314.97</v>
      </c>
      <c r="E18" s="154">
        <v>251316.16999999998</v>
      </c>
      <c r="F18" s="154">
        <v>0</v>
      </c>
      <c r="G18" s="154">
        <v>0</v>
      </c>
      <c r="H18" s="154">
        <v>0</v>
      </c>
      <c r="I18" s="154">
        <v>1207094</v>
      </c>
      <c r="J18" s="154">
        <v>1037928.51</v>
      </c>
      <c r="K18" s="154">
        <v>95049.73</v>
      </c>
      <c r="L18" s="154">
        <v>0</v>
      </c>
      <c r="M18" s="223">
        <v>184390.38</v>
      </c>
    </row>
    <row r="19" spans="1:13" ht="12.75">
      <c r="A19" s="226" t="s">
        <v>7</v>
      </c>
      <c r="B19" s="154">
        <v>0</v>
      </c>
      <c r="C19" s="154">
        <v>19599.239999999998</v>
      </c>
      <c r="D19" s="154">
        <v>39490.71</v>
      </c>
      <c r="E19" s="154">
        <v>0</v>
      </c>
      <c r="F19" s="154">
        <v>47775.01</v>
      </c>
      <c r="G19" s="154">
        <v>4999.23</v>
      </c>
      <c r="H19" s="154">
        <v>13637.54</v>
      </c>
      <c r="I19" s="154">
        <v>0</v>
      </c>
      <c r="J19" s="154">
        <v>3286120</v>
      </c>
      <c r="K19" s="154">
        <v>113117.53</v>
      </c>
      <c r="L19" s="154">
        <v>0</v>
      </c>
      <c r="M19" s="223">
        <v>1000951.6700000037</v>
      </c>
    </row>
    <row r="20" spans="1:13" ht="12.75">
      <c r="A20" s="226" t="s">
        <v>8</v>
      </c>
      <c r="B20" s="154">
        <v>0</v>
      </c>
      <c r="C20" s="154">
        <v>15333.279999999999</v>
      </c>
      <c r="D20" s="154">
        <v>2893.55</v>
      </c>
      <c r="E20" s="154">
        <v>1218507.99</v>
      </c>
      <c r="F20" s="154">
        <v>33847.96</v>
      </c>
      <c r="G20" s="154">
        <v>0</v>
      </c>
      <c r="H20" s="154">
        <v>288857.08</v>
      </c>
      <c r="I20" s="154">
        <v>2905417.18</v>
      </c>
      <c r="J20" s="154">
        <v>1646112.55</v>
      </c>
      <c r="K20" s="154">
        <v>78066.33</v>
      </c>
      <c r="L20" s="154">
        <v>9533.15</v>
      </c>
      <c r="M20" s="223">
        <v>117256.4</v>
      </c>
    </row>
    <row r="21" spans="1:13" ht="12.75">
      <c r="A21" s="226" t="s">
        <v>9</v>
      </c>
      <c r="B21" s="154">
        <v>0</v>
      </c>
      <c r="C21" s="154">
        <v>8841.03</v>
      </c>
      <c r="D21" s="154">
        <v>9203.15</v>
      </c>
      <c r="E21" s="154">
        <v>0</v>
      </c>
      <c r="F21" s="154">
        <v>22584.45</v>
      </c>
      <c r="G21" s="358">
        <v>965980.47</v>
      </c>
      <c r="H21" s="358">
        <v>105000</v>
      </c>
      <c r="I21" s="358">
        <v>0</v>
      </c>
      <c r="J21" s="154">
        <v>3328586.12</v>
      </c>
      <c r="K21" s="154">
        <v>75047.11</v>
      </c>
      <c r="L21" s="154">
        <v>0</v>
      </c>
      <c r="M21" s="223">
        <v>821625.97</v>
      </c>
    </row>
    <row r="22" spans="1:13" ht="12.75">
      <c r="A22" s="226" t="s">
        <v>10</v>
      </c>
      <c r="B22" s="154">
        <v>0</v>
      </c>
      <c r="C22" s="154">
        <v>0</v>
      </c>
      <c r="D22" s="154">
        <v>4240.53</v>
      </c>
      <c r="E22" s="154">
        <v>0</v>
      </c>
      <c r="F22" s="154">
        <v>0</v>
      </c>
      <c r="G22" s="154">
        <v>0</v>
      </c>
      <c r="H22" s="154">
        <v>11692.7</v>
      </c>
      <c r="I22" s="154">
        <v>1141547</v>
      </c>
      <c r="J22" s="154">
        <v>1079522</v>
      </c>
      <c r="K22" s="154">
        <v>136935.1</v>
      </c>
      <c r="L22" s="154">
        <v>0</v>
      </c>
      <c r="M22" s="223">
        <v>12684.61</v>
      </c>
    </row>
    <row r="23" spans="1:13" ht="12.75">
      <c r="A23" s="22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310"/>
    </row>
    <row r="24" spans="1:13" ht="12.75">
      <c r="A24" s="226" t="s">
        <v>11</v>
      </c>
      <c r="B24" s="154">
        <v>0</v>
      </c>
      <c r="C24" s="154">
        <v>0</v>
      </c>
      <c r="D24" s="154">
        <v>0</v>
      </c>
      <c r="E24" s="154">
        <v>556226.55</v>
      </c>
      <c r="F24" s="154">
        <v>21031.27</v>
      </c>
      <c r="G24" s="154">
        <v>184602.16</v>
      </c>
      <c r="H24" s="154">
        <v>0</v>
      </c>
      <c r="I24" s="154">
        <v>7301152.04</v>
      </c>
      <c r="J24" s="154">
        <v>6946163.199999999</v>
      </c>
      <c r="K24" s="154">
        <v>64325.62</v>
      </c>
      <c r="L24" s="154">
        <v>75461.76</v>
      </c>
      <c r="M24" s="223">
        <f>(1730332.64-(556226.55*2))</f>
        <v>617879.5399999998</v>
      </c>
    </row>
    <row r="25" spans="1:13" ht="12.75">
      <c r="A25" s="226" t="s">
        <v>12</v>
      </c>
      <c r="B25" s="154">
        <v>0</v>
      </c>
      <c r="C25" s="154">
        <v>0</v>
      </c>
      <c r="D25" s="366">
        <v>6392.02</v>
      </c>
      <c r="E25" s="154">
        <v>479255.15</v>
      </c>
      <c r="F25" s="154">
        <v>0</v>
      </c>
      <c r="G25" s="154">
        <v>0</v>
      </c>
      <c r="H25" s="154">
        <v>28695.469999999998</v>
      </c>
      <c r="I25" s="154">
        <v>897949</v>
      </c>
      <c r="J25" s="154">
        <v>1141909.65</v>
      </c>
      <c r="K25" s="154">
        <v>0</v>
      </c>
      <c r="L25" s="154">
        <v>0</v>
      </c>
      <c r="M25" s="223">
        <v>281478.7400000002</v>
      </c>
    </row>
    <row r="26" spans="1:13" ht="12.75">
      <c r="A26" s="226" t="s">
        <v>13</v>
      </c>
      <c r="B26" s="154">
        <v>0</v>
      </c>
      <c r="C26" s="154">
        <v>0</v>
      </c>
      <c r="D26" s="366">
        <v>9630.3</v>
      </c>
      <c r="E26" s="154">
        <v>0</v>
      </c>
      <c r="F26" s="154">
        <v>37381</v>
      </c>
      <c r="G26" s="154">
        <v>696284.88</v>
      </c>
      <c r="H26" s="154">
        <v>178778.5</v>
      </c>
      <c r="I26" s="154">
        <v>7680778</v>
      </c>
      <c r="J26" s="154">
        <v>2840603</v>
      </c>
      <c r="K26" s="154">
        <v>146234.94</v>
      </c>
      <c r="L26" s="154">
        <v>72124.47</v>
      </c>
      <c r="M26" s="223">
        <v>2588387.9799999967</v>
      </c>
    </row>
    <row r="27" spans="1:13" ht="12.75">
      <c r="A27" s="226" t="s">
        <v>14</v>
      </c>
      <c r="B27" s="154">
        <v>0</v>
      </c>
      <c r="C27" s="154">
        <v>0</v>
      </c>
      <c r="D27" s="366">
        <v>63179.57</v>
      </c>
      <c r="E27" s="154">
        <v>0</v>
      </c>
      <c r="F27" s="154">
        <v>0</v>
      </c>
      <c r="G27" s="154">
        <v>173682</v>
      </c>
      <c r="H27" s="154">
        <v>0</v>
      </c>
      <c r="I27" s="154">
        <v>8527602</v>
      </c>
      <c r="J27" s="154">
        <v>5533111.11</v>
      </c>
      <c r="K27" s="154">
        <v>919572.35</v>
      </c>
      <c r="L27" s="154">
        <v>0</v>
      </c>
      <c r="M27" s="223">
        <v>1032375.1499999985</v>
      </c>
    </row>
    <row r="28" spans="1:13" ht="12.75">
      <c r="A28" s="226" t="s">
        <v>15</v>
      </c>
      <c r="B28" s="154">
        <v>0</v>
      </c>
      <c r="C28" s="154">
        <v>1500</v>
      </c>
      <c r="D28" s="154">
        <v>0</v>
      </c>
      <c r="E28" s="154">
        <v>146772.55</v>
      </c>
      <c r="F28" s="154">
        <v>0</v>
      </c>
      <c r="G28" s="154">
        <v>72596.46</v>
      </c>
      <c r="H28" s="154">
        <v>20295</v>
      </c>
      <c r="I28" s="154">
        <v>0</v>
      </c>
      <c r="J28" s="154">
        <v>794095</v>
      </c>
      <c r="K28" s="154">
        <v>53699.63</v>
      </c>
      <c r="L28" s="154">
        <v>0</v>
      </c>
      <c r="M28" s="223">
        <v>46050</v>
      </c>
    </row>
    <row r="29" spans="1:13" ht="12.75">
      <c r="A29" s="226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310"/>
    </row>
    <row r="30" spans="1:13" ht="12.75">
      <c r="A30" s="226" t="s">
        <v>16</v>
      </c>
      <c r="B30" s="154">
        <v>0</v>
      </c>
      <c r="C30" s="154">
        <v>0</v>
      </c>
      <c r="D30" s="154">
        <v>74466.48</v>
      </c>
      <c r="E30" s="154">
        <v>4374100</v>
      </c>
      <c r="F30" s="358">
        <v>28669.71</v>
      </c>
      <c r="G30" s="154">
        <v>1506383.41</v>
      </c>
      <c r="H30" s="154">
        <v>0</v>
      </c>
      <c r="I30" s="154">
        <v>17510621</v>
      </c>
      <c r="J30" s="154">
        <v>29261214.08</v>
      </c>
      <c r="K30" s="154">
        <v>66212.95</v>
      </c>
      <c r="L30" s="154">
        <v>178887.18</v>
      </c>
      <c r="M30" s="223">
        <v>6227859.12</v>
      </c>
    </row>
    <row r="31" spans="1:13" ht="12.75">
      <c r="A31" s="226" t="s">
        <v>17</v>
      </c>
      <c r="B31" s="154">
        <v>0</v>
      </c>
      <c r="C31" s="154">
        <v>3001.66</v>
      </c>
      <c r="D31" s="154">
        <v>222619.28</v>
      </c>
      <c r="E31" s="154">
        <v>0</v>
      </c>
      <c r="F31" s="358">
        <v>81194.77</v>
      </c>
      <c r="G31" s="154">
        <v>136697.54</v>
      </c>
      <c r="H31" s="154">
        <v>1930883.9600000002</v>
      </c>
      <c r="I31" s="154">
        <v>31658057.98</v>
      </c>
      <c r="J31" s="154">
        <v>51221166</v>
      </c>
      <c r="K31" s="154">
        <v>0</v>
      </c>
      <c r="L31" s="154">
        <v>0</v>
      </c>
      <c r="M31" s="223">
        <v>15871704.52000001</v>
      </c>
    </row>
    <row r="32" spans="1:14" s="55" customFormat="1" ht="12.75">
      <c r="A32" s="256" t="s">
        <v>18</v>
      </c>
      <c r="B32" s="154">
        <v>0</v>
      </c>
      <c r="C32" s="154">
        <v>0</v>
      </c>
      <c r="D32" s="154">
        <v>1319.76</v>
      </c>
      <c r="E32" s="154">
        <v>0</v>
      </c>
      <c r="F32" s="154">
        <v>0</v>
      </c>
      <c r="G32" s="154">
        <v>0</v>
      </c>
      <c r="H32" s="154">
        <v>31450</v>
      </c>
      <c r="I32" s="154">
        <v>946923</v>
      </c>
      <c r="J32" s="154">
        <v>886115</v>
      </c>
      <c r="K32" s="154">
        <v>0</v>
      </c>
      <c r="L32" s="154">
        <v>0</v>
      </c>
      <c r="M32" s="223">
        <v>733479.05</v>
      </c>
      <c r="N32" s="355"/>
    </row>
    <row r="33" spans="1:13" ht="12.75">
      <c r="A33" s="226" t="s">
        <v>19</v>
      </c>
      <c r="B33" s="154">
        <v>0</v>
      </c>
      <c r="C33" s="154">
        <v>0</v>
      </c>
      <c r="D33" s="154">
        <v>13601.16</v>
      </c>
      <c r="E33" s="154">
        <v>0</v>
      </c>
      <c r="F33" s="154">
        <v>0</v>
      </c>
      <c r="G33" s="154">
        <v>2436970.04</v>
      </c>
      <c r="H33" s="154">
        <v>0</v>
      </c>
      <c r="I33" s="154">
        <v>3473582</v>
      </c>
      <c r="J33" s="154">
        <v>2900388</v>
      </c>
      <c r="K33" s="154">
        <v>22380.5</v>
      </c>
      <c r="L33" s="154">
        <v>500341.1</v>
      </c>
      <c r="M33" s="223">
        <v>1252284.2600000016</v>
      </c>
    </row>
    <row r="34" spans="1:13" ht="12.75">
      <c r="A34" s="226" t="s">
        <v>20</v>
      </c>
      <c r="B34" s="154">
        <v>0</v>
      </c>
      <c r="C34" s="154">
        <v>0</v>
      </c>
      <c r="D34" s="154">
        <v>7474.03</v>
      </c>
      <c r="E34" s="154">
        <v>272078.38</v>
      </c>
      <c r="F34" s="154">
        <v>4895.8</v>
      </c>
      <c r="G34" s="154">
        <v>0</v>
      </c>
      <c r="H34" s="154">
        <v>1841.13</v>
      </c>
      <c r="I34" s="154">
        <v>683158</v>
      </c>
      <c r="J34" s="154">
        <v>524941.96</v>
      </c>
      <c r="K34" s="154">
        <v>63533.94</v>
      </c>
      <c r="L34" s="154">
        <v>9024.6</v>
      </c>
      <c r="M34" s="223">
        <v>126227.33</v>
      </c>
    </row>
    <row r="35" spans="1:13" ht="12.75">
      <c r="A35" s="226"/>
      <c r="B35" s="154"/>
      <c r="C35" s="82"/>
      <c r="D35" s="154"/>
      <c r="E35" s="154"/>
      <c r="F35" s="154"/>
      <c r="G35" s="154"/>
      <c r="H35" s="154"/>
      <c r="I35" s="154"/>
      <c r="J35" s="154"/>
      <c r="K35" s="154"/>
      <c r="L35" s="154"/>
      <c r="M35" s="310"/>
    </row>
    <row r="36" spans="1:13" ht="12.75">
      <c r="A36" s="226" t="s">
        <v>21</v>
      </c>
      <c r="B36" s="154">
        <v>0</v>
      </c>
      <c r="C36" s="154">
        <v>0</v>
      </c>
      <c r="D36" s="154">
        <v>0</v>
      </c>
      <c r="E36" s="154">
        <v>19250.18</v>
      </c>
      <c r="F36" s="154">
        <v>0</v>
      </c>
      <c r="G36" s="154">
        <v>0</v>
      </c>
      <c r="H36" s="154">
        <v>22500</v>
      </c>
      <c r="I36" s="154">
        <v>370632</v>
      </c>
      <c r="J36" s="154">
        <v>329702.28</v>
      </c>
      <c r="K36" s="154">
        <v>0</v>
      </c>
      <c r="L36" s="154">
        <v>0</v>
      </c>
      <c r="M36" s="223">
        <v>10692.28</v>
      </c>
    </row>
    <row r="37" spans="1:13" ht="12.75">
      <c r="A37" s="226" t="s">
        <v>22</v>
      </c>
      <c r="B37" s="154">
        <v>0</v>
      </c>
      <c r="C37" s="154">
        <v>0</v>
      </c>
      <c r="D37" s="154">
        <v>23131.21</v>
      </c>
      <c r="E37" s="154">
        <v>844996.49</v>
      </c>
      <c r="F37" s="154">
        <v>0</v>
      </c>
      <c r="G37" s="388">
        <v>38945.64</v>
      </c>
      <c r="H37" s="388">
        <v>108855.75</v>
      </c>
      <c r="I37" s="388">
        <v>5163103</v>
      </c>
      <c r="J37" s="154">
        <v>2588431</v>
      </c>
      <c r="K37" s="154">
        <v>0</v>
      </c>
      <c r="L37" s="154">
        <v>0</v>
      </c>
      <c r="M37" s="223">
        <v>897830.89</v>
      </c>
    </row>
    <row r="38" spans="1:13" ht="12.75">
      <c r="A38" s="226" t="s">
        <v>23</v>
      </c>
      <c r="B38" s="154">
        <v>0</v>
      </c>
      <c r="C38" s="154">
        <v>11584</v>
      </c>
      <c r="D38" s="154">
        <v>36773.91</v>
      </c>
      <c r="E38" s="154">
        <v>0</v>
      </c>
      <c r="F38" s="154">
        <v>16890.29</v>
      </c>
      <c r="G38" s="154">
        <v>0</v>
      </c>
      <c r="H38" s="154">
        <v>152188.06</v>
      </c>
      <c r="I38" s="154">
        <v>0</v>
      </c>
      <c r="J38" s="154">
        <v>3461173</v>
      </c>
      <c r="K38" s="154">
        <v>54074.57</v>
      </c>
      <c r="L38" s="154">
        <v>0</v>
      </c>
      <c r="M38" s="223">
        <v>758665.96</v>
      </c>
    </row>
    <row r="39" spans="1:13" ht="12.75">
      <c r="A39" s="334" t="s">
        <v>24</v>
      </c>
      <c r="B39" s="155">
        <v>0</v>
      </c>
      <c r="C39" s="155">
        <v>0</v>
      </c>
      <c r="D39" s="155">
        <v>5700.63</v>
      </c>
      <c r="E39" s="155">
        <v>0</v>
      </c>
      <c r="F39" s="155">
        <v>17455.37</v>
      </c>
      <c r="G39" s="155">
        <v>0</v>
      </c>
      <c r="H39" s="155">
        <v>0</v>
      </c>
      <c r="I39" s="398">
        <v>784545.59</v>
      </c>
      <c r="J39" s="155">
        <v>633552</v>
      </c>
      <c r="K39" s="155">
        <v>0</v>
      </c>
      <c r="L39" s="155">
        <v>36642.62</v>
      </c>
      <c r="M39" s="224">
        <v>1810555.3899999987</v>
      </c>
    </row>
    <row r="40" spans="1:13" ht="12.75">
      <c r="A40" s="3"/>
      <c r="B40" s="3"/>
      <c r="C40" s="3"/>
      <c r="D40" s="223"/>
      <c r="E40" s="223"/>
      <c r="F40" s="223"/>
      <c r="G40" s="223"/>
      <c r="H40" s="223"/>
      <c r="I40" s="223"/>
      <c r="J40" s="223"/>
      <c r="K40" s="223"/>
      <c r="L40" s="223"/>
      <c r="M40" s="223"/>
    </row>
    <row r="41" spans="1:13" ht="12.75">
      <c r="A41" s="3"/>
      <c r="B41" s="3"/>
      <c r="C41" s="3"/>
      <c r="D41" s="228"/>
      <c r="E41" s="228"/>
      <c r="F41" s="228"/>
      <c r="G41" s="228"/>
      <c r="H41" s="228"/>
      <c r="I41" s="228"/>
      <c r="J41" s="228"/>
      <c r="K41" s="228"/>
      <c r="L41" s="228"/>
      <c r="M41" s="228"/>
    </row>
    <row r="42" spans="1:13" ht="12.75">
      <c r="A42" s="3"/>
      <c r="B42" s="3"/>
      <c r="C42" s="3"/>
      <c r="D42" s="228"/>
      <c r="E42" s="228"/>
      <c r="F42" s="228"/>
      <c r="G42" s="228"/>
      <c r="H42" s="228"/>
      <c r="I42" s="228"/>
      <c r="J42" s="228"/>
      <c r="K42" s="228"/>
      <c r="L42" s="228"/>
      <c r="M42" s="228"/>
    </row>
    <row r="43" spans="1:13" ht="12.75">
      <c r="A43" s="3"/>
      <c r="B43" s="3"/>
      <c r="C43" s="3"/>
      <c r="D43" s="228"/>
      <c r="E43" s="228"/>
      <c r="F43" s="228"/>
      <c r="G43" s="228"/>
      <c r="H43" s="228"/>
      <c r="I43" s="228"/>
      <c r="J43" s="228"/>
      <c r="K43" s="228"/>
      <c r="L43" s="228"/>
      <c r="M43" s="228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</sheetData>
  <sheetProtection password="CAF5" sheet="1" objects="1" scenarios="1"/>
  <mergeCells count="14">
    <mergeCell ref="K6:K9"/>
    <mergeCell ref="L6:L9"/>
    <mergeCell ref="B5:B9"/>
    <mergeCell ref="C5:C9"/>
    <mergeCell ref="A1:M1"/>
    <mergeCell ref="A3:M3"/>
    <mergeCell ref="E6:E9"/>
    <mergeCell ref="F6:F9"/>
    <mergeCell ref="D6:D9"/>
    <mergeCell ref="G7:G9"/>
    <mergeCell ref="J6:J9"/>
    <mergeCell ref="H6:H9"/>
    <mergeCell ref="H5:L5"/>
    <mergeCell ref="I6:I9"/>
  </mergeCells>
  <printOptions horizontalCentered="1"/>
  <pageMargins left="0.69" right="0.65" top="0.83" bottom="1.2" header="0.67" footer="0.5"/>
  <pageSetup fitToHeight="1" fitToWidth="1" horizontalDpi="600" verticalDpi="600" orientation="landscape" scale="64" r:id="rId1"/>
  <headerFooter alignWithMargins="0">
    <oddHeader>&amp;R
</oddHeader>
    <oddFooter>&amp;L&amp;"Arial,Italic"&amp;9MSDE - LFRO  11 / 2012
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PageLayoutView="0" workbookViewId="0" topLeftCell="C4">
      <selection activeCell="D15" sqref="D15"/>
    </sheetView>
  </sheetViews>
  <sheetFormatPr defaultColWidth="11.421875" defaultRowHeight="12.75"/>
  <cols>
    <col min="1" max="1" width="17.8515625" style="24" customWidth="1"/>
    <col min="2" max="2" width="12.421875" style="207" customWidth="1"/>
    <col min="3" max="3" width="16.57421875" style="207" customWidth="1"/>
    <col min="4" max="4" width="13.421875" style="207" customWidth="1"/>
    <col min="5" max="5" width="14.140625" style="207" customWidth="1"/>
    <col min="6" max="6" width="14.00390625" style="207" customWidth="1"/>
    <col min="7" max="7" width="15.57421875" style="207" customWidth="1"/>
    <col min="8" max="8" width="17.421875" style="207" customWidth="1"/>
    <col min="9" max="11" width="14.7109375" style="207" customWidth="1"/>
    <col min="12" max="12" width="12.57421875" style="207" customWidth="1"/>
    <col min="13" max="16384" width="11.421875" style="24" customWidth="1"/>
  </cols>
  <sheetData>
    <row r="1" spans="1:12" ht="12.75">
      <c r="A1" s="22" t="s">
        <v>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>
      <c r="A2" s="22"/>
      <c r="B2" s="259"/>
      <c r="C2" s="259"/>
      <c r="D2" s="259"/>
      <c r="E2" s="259"/>
      <c r="F2" s="259"/>
      <c r="G2" s="259"/>
      <c r="H2" s="259"/>
      <c r="I2" s="259"/>
      <c r="J2" s="269"/>
      <c r="K2" s="269"/>
      <c r="L2" s="259"/>
    </row>
    <row r="3" spans="1:12" ht="12.75">
      <c r="A3" s="258" t="s">
        <v>263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3.5" thickBot="1">
      <c r="A4" s="46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5" customHeight="1" thickTop="1">
      <c r="A5" s="529" t="s">
        <v>164</v>
      </c>
      <c r="B5" s="532" t="s">
        <v>264</v>
      </c>
      <c r="C5" s="532" t="s">
        <v>190</v>
      </c>
      <c r="D5" s="532" t="s">
        <v>166</v>
      </c>
      <c r="E5" s="532" t="s">
        <v>215</v>
      </c>
      <c r="F5" s="532" t="s">
        <v>265</v>
      </c>
      <c r="G5" s="530" t="s">
        <v>94</v>
      </c>
      <c r="H5" s="530"/>
      <c r="I5" s="530"/>
      <c r="J5" s="530"/>
      <c r="K5" s="530"/>
      <c r="L5" s="530"/>
    </row>
    <row r="6" spans="1:12" ht="12.75" customHeight="1">
      <c r="A6" s="469"/>
      <c r="B6" s="461"/>
      <c r="C6" s="533"/>
      <c r="D6" s="461"/>
      <c r="E6" s="461"/>
      <c r="F6" s="461"/>
      <c r="G6" s="531" t="s">
        <v>167</v>
      </c>
      <c r="H6" s="531" t="s">
        <v>216</v>
      </c>
      <c r="I6" s="531" t="s">
        <v>212</v>
      </c>
      <c r="J6" s="531" t="s">
        <v>191</v>
      </c>
      <c r="K6" s="531" t="s">
        <v>163</v>
      </c>
      <c r="L6" s="531" t="s">
        <v>165</v>
      </c>
    </row>
    <row r="7" spans="1:12" ht="12.75">
      <c r="A7" s="469"/>
      <c r="B7" s="461"/>
      <c r="C7" s="533"/>
      <c r="D7" s="461"/>
      <c r="E7" s="461"/>
      <c r="F7" s="461"/>
      <c r="G7" s="461"/>
      <c r="H7" s="461"/>
      <c r="I7" s="452"/>
      <c r="J7" s="452"/>
      <c r="K7" s="461"/>
      <c r="L7" s="461"/>
    </row>
    <row r="8" spans="1:12" ht="12.75">
      <c r="A8" s="469"/>
      <c r="B8" s="461"/>
      <c r="C8" s="533"/>
      <c r="D8" s="461"/>
      <c r="E8" s="461"/>
      <c r="F8" s="461"/>
      <c r="G8" s="461"/>
      <c r="H8" s="461"/>
      <c r="I8" s="452"/>
      <c r="J8" s="452"/>
      <c r="K8" s="461"/>
      <c r="L8" s="461"/>
    </row>
    <row r="9" spans="1:12" ht="13.5" thickBot="1">
      <c r="A9" s="470"/>
      <c r="B9" s="453"/>
      <c r="C9" s="534"/>
      <c r="D9" s="453"/>
      <c r="E9" s="453"/>
      <c r="F9" s="453"/>
      <c r="G9" s="453"/>
      <c r="H9" s="453"/>
      <c r="I9" s="453"/>
      <c r="J9" s="453"/>
      <c r="K9" s="453"/>
      <c r="L9" s="453"/>
    </row>
    <row r="10" spans="1:12" ht="12.75">
      <c r="A10" s="32" t="s">
        <v>0</v>
      </c>
      <c r="B10" s="417">
        <f>SUM(B12:B39)</f>
        <v>817610.25</v>
      </c>
      <c r="C10" s="418">
        <f>SUM(C12:C39)</f>
        <v>424121819616</v>
      </c>
      <c r="D10" s="418">
        <f>+C10/B10</f>
        <v>518733.4914355587</v>
      </c>
      <c r="E10" s="263">
        <f>SUM(E12:E39)+4</f>
        <v>5473083017.5</v>
      </c>
      <c r="F10" s="263">
        <f>SUM(F12:F39)</f>
        <v>2736561216.708316</v>
      </c>
      <c r="G10" s="263">
        <f>SUM(G12:G39)</f>
        <v>2736521798.791684</v>
      </c>
      <c r="H10" s="263">
        <f>SUM(H12:H39)-1</f>
        <v>820962451.0250001</v>
      </c>
      <c r="I10" s="263">
        <f>SUM(I12:I39)</f>
        <v>2763479573.680009</v>
      </c>
      <c r="J10" s="270">
        <f>SUM(J12:J39)</f>
        <v>126612027</v>
      </c>
      <c r="K10" s="263">
        <f>SUM(K12:K39)+3</f>
        <v>2890091603.680009</v>
      </c>
      <c r="L10" s="263">
        <f>K10/B10</f>
        <v>3534.8035371132014</v>
      </c>
    </row>
    <row r="11" spans="1:12" ht="12.75">
      <c r="A11" s="23"/>
      <c r="B11" s="240"/>
      <c r="C11" s="240"/>
      <c r="D11" s="413"/>
      <c r="E11" s="240"/>
      <c r="F11" s="265"/>
      <c r="G11" s="240"/>
      <c r="H11" s="240"/>
      <c r="I11" s="240"/>
      <c r="J11" s="271"/>
      <c r="K11" s="240"/>
      <c r="L11" s="302"/>
    </row>
    <row r="12" spans="1:12" ht="12.75">
      <c r="A12" s="23" t="s">
        <v>1</v>
      </c>
      <c r="B12" s="399">
        <v>8692</v>
      </c>
      <c r="C12" s="203">
        <v>2368718561</v>
      </c>
      <c r="D12" s="414">
        <f>+C12/B12</f>
        <v>272517.0916935113</v>
      </c>
      <c r="E12" s="237">
        <f>(B12*6694)</f>
        <v>58184248</v>
      </c>
      <c r="F12" s="240">
        <f>C12*0.64523%</f>
        <v>15283682.771140298</v>
      </c>
      <c r="G12" s="240">
        <f>+E12-F12</f>
        <v>42900565.2288597</v>
      </c>
      <c r="H12" s="267">
        <f>E12*0.15</f>
        <v>8727637.2</v>
      </c>
      <c r="I12" s="267">
        <f>IF(G12&gt;H12,G12,H12)</f>
        <v>42900565.2288597</v>
      </c>
      <c r="J12" s="333">
        <v>0</v>
      </c>
      <c r="K12" s="237">
        <f>I12+J12</f>
        <v>42900565.2288597</v>
      </c>
      <c r="L12" s="302">
        <f>K12/B12</f>
        <v>4935.6379692659575</v>
      </c>
    </row>
    <row r="13" spans="1:12" ht="12.75">
      <c r="A13" s="23" t="s">
        <v>2</v>
      </c>
      <c r="B13" s="399">
        <v>72914.5</v>
      </c>
      <c r="C13" s="203">
        <v>47283394662</v>
      </c>
      <c r="D13" s="414">
        <f>+C13/B13</f>
        <v>648477.2529743741</v>
      </c>
      <c r="E13" s="237">
        <f>(B13*6694)</f>
        <v>488089663</v>
      </c>
      <c r="F13" s="240">
        <f aca="true" t="shared" si="0" ref="F13:F39">C13*0.64523%</f>
        <v>305086647.37762254</v>
      </c>
      <c r="G13" s="240">
        <f>+E13-F13</f>
        <v>183003015.62237746</v>
      </c>
      <c r="H13" s="267">
        <f>E13*0.15</f>
        <v>73213449.45</v>
      </c>
      <c r="I13" s="267">
        <f>IF(G13&gt;H13,G13,H13)</f>
        <v>183003015.62237746</v>
      </c>
      <c r="J13" s="271">
        <v>8785614</v>
      </c>
      <c r="K13" s="237">
        <f>I13+J13</f>
        <v>191788629.62237746</v>
      </c>
      <c r="L13" s="302">
        <f>K13/B13</f>
        <v>2630.3222215386168</v>
      </c>
    </row>
    <row r="14" spans="1:12" ht="12.75">
      <c r="A14" s="23" t="s">
        <v>3</v>
      </c>
      <c r="B14" s="399">
        <v>77909</v>
      </c>
      <c r="C14" s="203">
        <v>22597543501</v>
      </c>
      <c r="D14" s="414">
        <f>+C14/B14</f>
        <v>290050.488403137</v>
      </c>
      <c r="E14" s="237">
        <f>(B14*6694)</f>
        <v>521522846</v>
      </c>
      <c r="F14" s="240">
        <f t="shared" si="0"/>
        <v>145806129.93150228</v>
      </c>
      <c r="G14" s="240">
        <f>+E14-F14</f>
        <v>375716716.0684977</v>
      </c>
      <c r="H14" s="267">
        <f>E14*0.15</f>
        <v>78228426.89999999</v>
      </c>
      <c r="I14" s="267">
        <f>IF(G14&gt;H14,G14,H14)</f>
        <v>375716716.0684977</v>
      </c>
      <c r="J14" s="271">
        <v>21903960</v>
      </c>
      <c r="K14" s="237">
        <f>I14+J14</f>
        <v>397620676.0684977</v>
      </c>
      <c r="L14" s="302">
        <f>K14/B14</f>
        <v>5103.655239683448</v>
      </c>
    </row>
    <row r="15" spans="1:12" ht="12.75">
      <c r="A15" s="23" t="s">
        <v>4</v>
      </c>
      <c r="B15" s="153">
        <v>99511.75</v>
      </c>
      <c r="C15" s="203">
        <v>52282847504</v>
      </c>
      <c r="D15" s="414">
        <f>+C15/B15</f>
        <v>525393.7098282364</v>
      </c>
      <c r="E15" s="237">
        <f>(B15*6694)</f>
        <v>666131654.5</v>
      </c>
      <c r="F15" s="240">
        <f t="shared" si="0"/>
        <v>337344616.9500592</v>
      </c>
      <c r="G15" s="240">
        <f>+E15-F15</f>
        <v>328787037.5499408</v>
      </c>
      <c r="H15" s="267">
        <f>E15*0.15</f>
        <v>99919748.175</v>
      </c>
      <c r="I15" s="267">
        <f>IF(G15&gt;H15,G15,H15)</f>
        <v>328787037.5499408</v>
      </c>
      <c r="J15" s="271">
        <v>5329053</v>
      </c>
      <c r="K15" s="237">
        <f>I15+J15</f>
        <v>334116090.5499408</v>
      </c>
      <c r="L15" s="302">
        <f>K15/B15</f>
        <v>3357.5541637036913</v>
      </c>
    </row>
    <row r="16" spans="1:12" ht="12.75">
      <c r="A16" s="23" t="s">
        <v>5</v>
      </c>
      <c r="B16" s="399">
        <v>16626.25</v>
      </c>
      <c r="C16" s="203">
        <v>7530858697</v>
      </c>
      <c r="D16" s="414">
        <f>+C16/B16</f>
        <v>452949.9253890685</v>
      </c>
      <c r="E16" s="237">
        <f>(B16*6694)</f>
        <v>111296117.5</v>
      </c>
      <c r="F16" s="240">
        <f t="shared" si="0"/>
        <v>48591359.570653096</v>
      </c>
      <c r="G16" s="240">
        <f>+E16-F16</f>
        <v>62704757.929346904</v>
      </c>
      <c r="H16" s="267">
        <f>E16*0.15</f>
        <v>16694417.625</v>
      </c>
      <c r="I16" s="267">
        <f>IF(G16&gt;H16,G16,H16)</f>
        <v>62704757.929346904</v>
      </c>
      <c r="J16" s="271">
        <v>2337218</v>
      </c>
      <c r="K16" s="237">
        <f>I16+J16</f>
        <v>65041975.929346904</v>
      </c>
      <c r="L16" s="302">
        <f>K16/B16</f>
        <v>3912.005168293927</v>
      </c>
    </row>
    <row r="17" spans="1:12" ht="12.75">
      <c r="A17" s="23"/>
      <c r="C17" s="203"/>
      <c r="D17" s="415"/>
      <c r="E17" s="264"/>
      <c r="G17" s="240"/>
      <c r="H17" s="267"/>
      <c r="J17" s="271"/>
      <c r="K17" s="240"/>
      <c r="L17" s="302"/>
    </row>
    <row r="18" spans="1:12" ht="12.75">
      <c r="A18" s="23" t="s">
        <v>6</v>
      </c>
      <c r="B18" s="399">
        <v>5224</v>
      </c>
      <c r="C18" s="203">
        <v>1694536303</v>
      </c>
      <c r="D18" s="414">
        <f>+C18/B18</f>
        <v>324375.2494257274</v>
      </c>
      <c r="E18" s="237">
        <f>(B18*6694)</f>
        <v>34969456</v>
      </c>
      <c r="F18" s="240">
        <f t="shared" si="0"/>
        <v>10933656.5878469</v>
      </c>
      <c r="G18" s="240">
        <f>+E18-F18</f>
        <v>24035799.412153102</v>
      </c>
      <c r="H18" s="267">
        <f>E18*0.15</f>
        <v>5245418.399999999</v>
      </c>
      <c r="I18" s="267">
        <f>IF(G18&gt;H18,G18,H18)</f>
        <v>24035799.412153102</v>
      </c>
      <c r="J18" s="333">
        <v>0</v>
      </c>
      <c r="K18" s="237">
        <f>I18+J18</f>
        <v>24035799.412153102</v>
      </c>
      <c r="L18" s="302">
        <f>K18/B18</f>
        <v>4601.033578130379</v>
      </c>
    </row>
    <row r="19" spans="1:12" ht="12.75">
      <c r="A19" s="23" t="s">
        <v>7</v>
      </c>
      <c r="B19" s="399">
        <v>27418</v>
      </c>
      <c r="C19" s="203">
        <v>12415094627</v>
      </c>
      <c r="D19" s="414">
        <f>+C19/B19</f>
        <v>452808.17809468234</v>
      </c>
      <c r="E19" s="237">
        <f>(B19*6694)</f>
        <v>183536092</v>
      </c>
      <c r="F19" s="240">
        <f t="shared" si="0"/>
        <v>80105915.06179209</v>
      </c>
      <c r="G19" s="240">
        <f>+E19-F19</f>
        <v>103430176.93820791</v>
      </c>
      <c r="H19" s="267">
        <f>E19*0.15</f>
        <v>27530413.8</v>
      </c>
      <c r="I19" s="267">
        <f>IF(G19&gt;H19,G19,H19)</f>
        <v>103430176.93820791</v>
      </c>
      <c r="J19" s="271">
        <v>2569505</v>
      </c>
      <c r="K19" s="237">
        <f>I19+J19</f>
        <v>105999681.93820791</v>
      </c>
      <c r="L19" s="302">
        <f>K19/B19</f>
        <v>3866.061781975633</v>
      </c>
    </row>
    <row r="20" spans="1:12" ht="12.75">
      <c r="A20" s="23" t="s">
        <v>8</v>
      </c>
      <c r="B20" s="399">
        <v>15620</v>
      </c>
      <c r="C20" s="203">
        <v>6113584940</v>
      </c>
      <c r="D20" s="414">
        <f>+C20/B20</f>
        <v>391394.6824583867</v>
      </c>
      <c r="E20" s="237">
        <f>(B20*6694)</f>
        <v>104560280</v>
      </c>
      <c r="F20" s="240">
        <f t="shared" si="0"/>
        <v>39446684.108362</v>
      </c>
      <c r="G20" s="240">
        <f>+E20-F20</f>
        <v>65113595.891638</v>
      </c>
      <c r="H20" s="267">
        <f>E20*0.15</f>
        <v>15684042</v>
      </c>
      <c r="I20" s="267">
        <f>IF(G20&gt;H20,G20,H20)</f>
        <v>65113595.891638</v>
      </c>
      <c r="J20" s="333">
        <v>0</v>
      </c>
      <c r="K20" s="237">
        <f>I20+J20</f>
        <v>65113595.891638</v>
      </c>
      <c r="L20" s="302">
        <f>K20/B20</f>
        <v>4168.604090373752</v>
      </c>
    </row>
    <row r="21" spans="1:12" ht="12.75">
      <c r="A21" s="23" t="s">
        <v>9</v>
      </c>
      <c r="B21" s="399">
        <v>25896.75</v>
      </c>
      <c r="C21" s="203">
        <v>10714794139</v>
      </c>
      <c r="D21" s="414">
        <f>+C21/B21</f>
        <v>413750.5339086951</v>
      </c>
      <c r="E21" s="237">
        <f>(B21*6694)</f>
        <v>173352844.5</v>
      </c>
      <c r="F21" s="240">
        <f t="shared" si="0"/>
        <v>69135066.2230697</v>
      </c>
      <c r="G21" s="240">
        <f>+E21-F21</f>
        <v>104217778.2769303</v>
      </c>
      <c r="H21" s="267">
        <f>E21*0.15</f>
        <v>26002926.675</v>
      </c>
      <c r="I21" s="267">
        <f>IF(G21&gt;H21,G21,H21)+1</f>
        <v>104217779.2769303</v>
      </c>
      <c r="J21" s="271">
        <v>3467057</v>
      </c>
      <c r="K21" s="237">
        <f>I21+J21</f>
        <v>107684836.2769303</v>
      </c>
      <c r="L21" s="302">
        <f>K21/B21</f>
        <v>4158.237472923448</v>
      </c>
    </row>
    <row r="22" spans="1:12" ht="12.75">
      <c r="A22" s="23" t="s">
        <v>10</v>
      </c>
      <c r="B22" s="399">
        <v>4412</v>
      </c>
      <c r="C22" s="203">
        <v>1821329170</v>
      </c>
      <c r="D22" s="414">
        <f>+C22/B22</f>
        <v>412812.59519492293</v>
      </c>
      <c r="E22" s="237">
        <f>(B22*6694)</f>
        <v>29533928</v>
      </c>
      <c r="F22" s="240">
        <f t="shared" si="0"/>
        <v>11751762.203590998</v>
      </c>
      <c r="G22" s="240">
        <f>+E22-F22</f>
        <v>17782165.796409003</v>
      </c>
      <c r="H22" s="267">
        <f>E22*0.15</f>
        <v>4430089.2</v>
      </c>
      <c r="I22" s="267">
        <f>IF(G22&gt;H22,G22,H22)</f>
        <v>17782165.796409003</v>
      </c>
      <c r="J22" s="333">
        <v>0</v>
      </c>
      <c r="K22" s="237">
        <f>I22+J22</f>
        <v>17782165.796409003</v>
      </c>
      <c r="L22" s="302">
        <f>K22/B22</f>
        <v>4030.4092920237995</v>
      </c>
    </row>
    <row r="23" spans="1:12" ht="12.75">
      <c r="A23" s="23"/>
      <c r="B23" s="399"/>
      <c r="C23" s="203"/>
      <c r="D23" s="414"/>
      <c r="E23" s="264"/>
      <c r="F23" s="240"/>
      <c r="G23" s="240"/>
      <c r="H23" s="267"/>
      <c r="I23" s="240"/>
      <c r="J23" s="271"/>
      <c r="K23" s="240"/>
      <c r="L23" s="302"/>
    </row>
    <row r="24" spans="1:12" ht="12.75">
      <c r="A24" s="23" t="s">
        <v>11</v>
      </c>
      <c r="B24" s="399">
        <v>39063.75</v>
      </c>
      <c r="C24" s="203">
        <v>17766754495</v>
      </c>
      <c r="D24" s="414">
        <f>+C24/B24</f>
        <v>454814.3610124476</v>
      </c>
      <c r="E24" s="237">
        <f>(B24*6694)</f>
        <v>261492742.5</v>
      </c>
      <c r="F24" s="240">
        <f t="shared" si="0"/>
        <v>114636430.0280885</v>
      </c>
      <c r="G24" s="240">
        <f>+E24-F24+1</f>
        <v>146856313.4719115</v>
      </c>
      <c r="H24" s="267">
        <f>E24*0.15</f>
        <v>39223911.375</v>
      </c>
      <c r="I24" s="267">
        <f>IF(G24&gt;H24,G24,H24)</f>
        <v>146856313.4719115</v>
      </c>
      <c r="J24" s="271">
        <v>6275826</v>
      </c>
      <c r="K24" s="237">
        <f>I24+J24</f>
        <v>153132139.4719115</v>
      </c>
      <c r="L24" s="302">
        <f>K24/B24</f>
        <v>3920.0573286464173</v>
      </c>
    </row>
    <row r="25" spans="1:12" ht="12.75">
      <c r="A25" s="23" t="s">
        <v>12</v>
      </c>
      <c r="B25" s="399">
        <v>4182.75</v>
      </c>
      <c r="C25" s="203">
        <v>2269239054</v>
      </c>
      <c r="D25" s="414">
        <f>+C25/B25</f>
        <v>542523.233279541</v>
      </c>
      <c r="E25" s="237">
        <f>(B25*6694)</f>
        <v>27999328.5</v>
      </c>
      <c r="F25" s="240">
        <f t="shared" si="0"/>
        <v>14641811.1481242</v>
      </c>
      <c r="G25" s="240">
        <f>+E25-F25+1</f>
        <v>13357518.3518758</v>
      </c>
      <c r="H25" s="267">
        <f>E25*0.15</f>
        <v>4199899.274999999</v>
      </c>
      <c r="I25" s="267">
        <f>IF(G25&gt;H25,G25,H25)</f>
        <v>13357518.3518758</v>
      </c>
      <c r="J25" s="333">
        <v>0</v>
      </c>
      <c r="K25" s="237">
        <f>I25+J25</f>
        <v>13357518.3518758</v>
      </c>
      <c r="L25" s="302">
        <f>K25/B25</f>
        <v>3193.47758098758</v>
      </c>
    </row>
    <row r="26" spans="1:12" ht="12.75">
      <c r="A26" s="23" t="s">
        <v>13</v>
      </c>
      <c r="B26" s="399">
        <v>37697</v>
      </c>
      <c r="C26" s="203">
        <v>16413946864</v>
      </c>
      <c r="D26" s="414">
        <f>+C26/B26</f>
        <v>435417.85457728733</v>
      </c>
      <c r="E26" s="237">
        <f>(B26*6694)</f>
        <v>252343718</v>
      </c>
      <c r="F26" s="240">
        <f t="shared" si="0"/>
        <v>105907709.35058719</v>
      </c>
      <c r="G26" s="240">
        <f>(+E26-F26)</f>
        <v>146436008.6494128</v>
      </c>
      <c r="H26" s="267">
        <f>E26*0.15</f>
        <v>37851557.699999996</v>
      </c>
      <c r="I26" s="267">
        <f>IF(G26&gt;H26,G26,H26)</f>
        <v>146436008.6494128</v>
      </c>
      <c r="J26" s="333">
        <v>0</v>
      </c>
      <c r="K26" s="237">
        <f>I26+J26</f>
        <v>146436008.6494128</v>
      </c>
      <c r="L26" s="302">
        <f>K26/B26</f>
        <v>3884.5533769109693</v>
      </c>
    </row>
    <row r="27" spans="1:12" ht="12.75">
      <c r="A27" s="23" t="s">
        <v>14</v>
      </c>
      <c r="B27" s="399">
        <v>49635</v>
      </c>
      <c r="C27" s="203">
        <v>28138108641</v>
      </c>
      <c r="D27" s="414">
        <f>+C27/B27</f>
        <v>566900.5468117256</v>
      </c>
      <c r="E27" s="237">
        <f>(B27*6694)</f>
        <v>332256690</v>
      </c>
      <c r="F27" s="240">
        <f t="shared" si="0"/>
        <v>181555518.38432428</v>
      </c>
      <c r="G27" s="240">
        <f>+E27-F27</f>
        <v>150701171.61567572</v>
      </c>
      <c r="H27" s="267">
        <f>E27*0.15</f>
        <v>49838503.5</v>
      </c>
      <c r="I27" s="267">
        <f>IF(G27&gt;H27,G27,H27)</f>
        <v>150701171.61567572</v>
      </c>
      <c r="J27" s="271">
        <v>4983850</v>
      </c>
      <c r="K27" s="237">
        <f>I27+J27</f>
        <v>155685021.61567572</v>
      </c>
      <c r="L27" s="302">
        <f>K27/B27</f>
        <v>3136.5975947552274</v>
      </c>
    </row>
    <row r="28" spans="1:12" ht="12.75">
      <c r="A28" s="23" t="s">
        <v>15</v>
      </c>
      <c r="B28" s="399">
        <v>2060</v>
      </c>
      <c r="C28" s="203">
        <v>1614202463</v>
      </c>
      <c r="D28" s="414">
        <f>+C28/B28</f>
        <v>783593.4286407767</v>
      </c>
      <c r="E28" s="237">
        <f>(B28*6694)</f>
        <v>13789640</v>
      </c>
      <c r="F28" s="240">
        <f t="shared" si="0"/>
        <v>10415318.552014899</v>
      </c>
      <c r="G28" s="240">
        <f>+E28-F28</f>
        <v>3374321.4479851015</v>
      </c>
      <c r="H28" s="267">
        <f>E28*0.15</f>
        <v>2068446</v>
      </c>
      <c r="I28" s="267">
        <f>IF(G28&gt;H28,G28,H28)</f>
        <v>3374321.4479851015</v>
      </c>
      <c r="J28" s="271">
        <v>137896</v>
      </c>
      <c r="K28" s="237">
        <f>I28+J28</f>
        <v>3512217.4479851015</v>
      </c>
      <c r="L28" s="302">
        <f>K28/B28</f>
        <v>1704.95992620636</v>
      </c>
    </row>
    <row r="29" spans="1:12" ht="12.75">
      <c r="A29" s="23"/>
      <c r="C29" s="203"/>
      <c r="D29" s="414"/>
      <c r="E29" s="264"/>
      <c r="F29" s="240"/>
      <c r="G29" s="240"/>
      <c r="H29" s="267"/>
      <c r="J29" s="271"/>
      <c r="K29" s="240"/>
      <c r="L29" s="302"/>
    </row>
    <row r="30" spans="1:12" ht="12.75">
      <c r="A30" s="23" t="s">
        <v>16</v>
      </c>
      <c r="B30" s="399">
        <v>138139.25</v>
      </c>
      <c r="C30" s="203">
        <v>102296995910</v>
      </c>
      <c r="D30" s="414">
        <f>+C30/B30</f>
        <v>740535.3359743882</v>
      </c>
      <c r="E30" s="237">
        <f>(B30*6694)</f>
        <v>924704139.5</v>
      </c>
      <c r="F30" s="240">
        <f t="shared" si="0"/>
        <v>660050906.7100929</v>
      </c>
      <c r="G30" s="240">
        <f>+E30-F30</f>
        <v>264653232.7899071</v>
      </c>
      <c r="H30" s="267">
        <f>E30*0.15</f>
        <v>138705620.92499998</v>
      </c>
      <c r="I30" s="267">
        <f>IF(G30&gt;H30,G30,H30)</f>
        <v>264653232.7899071</v>
      </c>
      <c r="J30" s="271">
        <v>31439941</v>
      </c>
      <c r="K30" s="237">
        <f>I30+J30</f>
        <v>296093173.7899071</v>
      </c>
      <c r="L30" s="302">
        <f>K30/B30</f>
        <v>2143.4398535528976</v>
      </c>
    </row>
    <row r="31" spans="1:12" ht="12.75">
      <c r="A31" s="23" t="s">
        <v>17</v>
      </c>
      <c r="B31" s="399">
        <v>120170.75</v>
      </c>
      <c r="C31" s="203">
        <v>52100740002</v>
      </c>
      <c r="D31" s="414">
        <f>+C31/B31</f>
        <v>433555.9194063447</v>
      </c>
      <c r="E31" s="237">
        <f>(B31*6694)</f>
        <v>804423000.5</v>
      </c>
      <c r="F31" s="240">
        <f t="shared" si="0"/>
        <v>336169604.71490455</v>
      </c>
      <c r="G31" s="240">
        <f>+E31-F31</f>
        <v>468253395.78509545</v>
      </c>
      <c r="H31" s="267">
        <f>E31*0.15</f>
        <v>120663450.075</v>
      </c>
      <c r="I31" s="267">
        <f>IF(G31&gt;H31,G31,H31)</f>
        <v>468253395.78509545</v>
      </c>
      <c r="J31" s="271">
        <v>38612304</v>
      </c>
      <c r="K31" s="237">
        <f>I31+J31</f>
        <v>506865699.78509545</v>
      </c>
      <c r="L31" s="302">
        <f>K31/B31</f>
        <v>4217.879141014727</v>
      </c>
    </row>
    <row r="32" spans="1:12" ht="12.75">
      <c r="A32" s="23" t="s">
        <v>18</v>
      </c>
      <c r="B32" s="399">
        <v>7477</v>
      </c>
      <c r="C32" s="203">
        <v>4618968485</v>
      </c>
      <c r="D32" s="414">
        <f>+C32/B32</f>
        <v>617756.9192189381</v>
      </c>
      <c r="E32" s="237">
        <f>(B32*6694)</f>
        <v>50051038</v>
      </c>
      <c r="F32" s="240">
        <f t="shared" si="0"/>
        <v>29802970.355765495</v>
      </c>
      <c r="G32" s="240">
        <f>+E32-F32</f>
        <v>20248067.644234505</v>
      </c>
      <c r="H32" s="267">
        <f>E32*0.15</f>
        <v>7507655.7</v>
      </c>
      <c r="I32" s="267">
        <f>IF(G32&gt;H32,G32,H32)</f>
        <v>20248067.644234505</v>
      </c>
      <c r="J32" s="271">
        <v>550561</v>
      </c>
      <c r="K32" s="237">
        <f>I32+J32</f>
        <v>20798628.644234505</v>
      </c>
      <c r="L32" s="302">
        <f>K32/B32</f>
        <v>2781.6809742188716</v>
      </c>
    </row>
    <row r="33" spans="1:12" ht="12.75">
      <c r="A33" s="23" t="s">
        <v>19</v>
      </c>
      <c r="B33" s="399">
        <v>16376</v>
      </c>
      <c r="C33" s="203">
        <v>7085213781</v>
      </c>
      <c r="D33" s="414">
        <f>+C33/B33</f>
        <v>432658.38916707376</v>
      </c>
      <c r="E33" s="237">
        <f>(B33*6694)</f>
        <v>109620944</v>
      </c>
      <c r="F33" s="240">
        <f t="shared" si="0"/>
        <v>45715924.87914629</v>
      </c>
      <c r="G33" s="240">
        <f>+E33-F33</f>
        <v>63905019.12085371</v>
      </c>
      <c r="H33" s="267">
        <f>E33*0.15</f>
        <v>16443141.6</v>
      </c>
      <c r="I33" s="267">
        <f>IF(G33&gt;H33,G33,H33)</f>
        <v>63905019.12085371</v>
      </c>
      <c r="J33" s="271">
        <v>219242</v>
      </c>
      <c r="K33" s="237">
        <f>I33+J33</f>
        <v>64124261.12085371</v>
      </c>
      <c r="L33" s="302">
        <f>K33/B33</f>
        <v>3915.7462824165673</v>
      </c>
    </row>
    <row r="34" spans="1:12" ht="12.75">
      <c r="A34" s="23" t="s">
        <v>20</v>
      </c>
      <c r="B34" s="399">
        <v>2702.25</v>
      </c>
      <c r="C34" s="203">
        <v>917190718</v>
      </c>
      <c r="D34" s="414">
        <f>+C34/B34</f>
        <v>339417.418077528</v>
      </c>
      <c r="E34" s="237">
        <f>(B34*6694)</f>
        <v>18088861.5</v>
      </c>
      <c r="F34" s="240">
        <f t="shared" si="0"/>
        <v>5917989.669751399</v>
      </c>
      <c r="G34" s="240">
        <f>+E34-F34</f>
        <v>12170871.830248602</v>
      </c>
      <c r="H34" s="267">
        <f>E34*0.15</f>
        <v>2713329.225</v>
      </c>
      <c r="I34" s="267">
        <f>IF(G34&gt;H34,G34,H34)</f>
        <v>12170871.830248602</v>
      </c>
      <c r="J34" s="333">
        <v>0</v>
      </c>
      <c r="K34" s="237">
        <f>I34+J34</f>
        <v>12170871.830248602</v>
      </c>
      <c r="L34" s="302">
        <f>K34/B34</f>
        <v>4503.976993338367</v>
      </c>
    </row>
    <row r="35" spans="1:12" ht="12.75">
      <c r="A35" s="23"/>
      <c r="C35" s="203"/>
      <c r="D35" s="414"/>
      <c r="E35" s="264"/>
      <c r="F35" s="240"/>
      <c r="G35" s="240"/>
      <c r="H35" s="267"/>
      <c r="I35" s="240"/>
      <c r="J35" s="271"/>
      <c r="K35" s="240"/>
      <c r="L35" s="302"/>
    </row>
    <row r="36" spans="1:12" ht="12.75">
      <c r="A36" s="23" t="s">
        <v>21</v>
      </c>
      <c r="B36" s="399">
        <v>4273</v>
      </c>
      <c r="C36" s="203">
        <v>4879778885</v>
      </c>
      <c r="D36" s="416">
        <f>+C36/B36</f>
        <v>1142003.0154458226</v>
      </c>
      <c r="E36" s="237">
        <f>(B36*6694)</f>
        <v>28603462</v>
      </c>
      <c r="F36" s="240">
        <f t="shared" si="0"/>
        <v>31485797.299685497</v>
      </c>
      <c r="G36" s="237">
        <f>+E36-F36</f>
        <v>-2882335.299685497</v>
      </c>
      <c r="H36" s="267">
        <f>E36*0.15</f>
        <v>4290519.3</v>
      </c>
      <c r="I36" s="267">
        <f>IF(G36&gt;H36,G36,H36)</f>
        <v>4290519.3</v>
      </c>
      <c r="J36" s="333">
        <v>0</v>
      </c>
      <c r="K36" s="237">
        <f>I36+J36</f>
        <v>4290519.3</v>
      </c>
      <c r="L36" s="302">
        <f>K36/B36</f>
        <v>1004.0999999999999</v>
      </c>
    </row>
    <row r="37" spans="1:12" ht="12.75">
      <c r="A37" s="23" t="s">
        <v>22</v>
      </c>
      <c r="B37" s="399">
        <v>21383.25</v>
      </c>
      <c r="C37" s="203">
        <v>8191648335</v>
      </c>
      <c r="D37" s="416">
        <f>+C37/B37</f>
        <v>383087.1516256883</v>
      </c>
      <c r="E37" s="237">
        <f>(B37*6694)</f>
        <v>143139475.5</v>
      </c>
      <c r="F37" s="240">
        <f t="shared" si="0"/>
        <v>52854972.551920496</v>
      </c>
      <c r="G37" s="240">
        <f>+E37-F37</f>
        <v>90284502.9480795</v>
      </c>
      <c r="H37" s="267">
        <f>E37*0.15</f>
        <v>21470921.325</v>
      </c>
      <c r="I37" s="267">
        <f>IF(G37&gt;H37,G37,H37)</f>
        <v>90284502.9480795</v>
      </c>
      <c r="J37" s="333">
        <v>0</v>
      </c>
      <c r="K37" s="237">
        <f>I37+J37</f>
        <v>90284502.9480795</v>
      </c>
      <c r="L37" s="302">
        <f>K37/B37</f>
        <v>4222.206771565571</v>
      </c>
    </row>
    <row r="38" spans="1:12" ht="12.75">
      <c r="A38" s="23" t="s">
        <v>23</v>
      </c>
      <c r="B38" s="399">
        <v>13962</v>
      </c>
      <c r="C38" s="203">
        <v>4416144536</v>
      </c>
      <c r="D38" s="416">
        <f>+C38/B38</f>
        <v>316297.4169889701</v>
      </c>
      <c r="E38" s="237">
        <f>(B38*6694)</f>
        <v>93461628</v>
      </c>
      <c r="F38" s="240">
        <f t="shared" si="0"/>
        <v>28494289.3896328</v>
      </c>
      <c r="G38" s="240">
        <f>+E38-F38</f>
        <v>64967338.6103672</v>
      </c>
      <c r="H38" s="267">
        <f>E38*0.15</f>
        <v>14019244.2</v>
      </c>
      <c r="I38" s="267">
        <f>IF(G38&gt;H38,G38,H38)</f>
        <v>64967338.6103672</v>
      </c>
      <c r="J38" s="333">
        <v>0</v>
      </c>
      <c r="K38" s="237">
        <f>I38+J38</f>
        <v>64967338.6103672</v>
      </c>
      <c r="L38" s="302">
        <f>K38/B38</f>
        <v>4653.154176362069</v>
      </c>
    </row>
    <row r="39" spans="1:12" ht="12.75">
      <c r="A39" s="23" t="s">
        <v>24</v>
      </c>
      <c r="B39" s="399">
        <v>6264</v>
      </c>
      <c r="C39" s="203">
        <v>8590185343</v>
      </c>
      <c r="D39" s="416">
        <f>+C39/B39</f>
        <v>1371357.8133780332</v>
      </c>
      <c r="E39" s="237">
        <f>(B39*6694)</f>
        <v>41931216</v>
      </c>
      <c r="F39" s="240">
        <f t="shared" si="0"/>
        <v>55426452.88863889</v>
      </c>
      <c r="G39" s="224">
        <f>+E39-F39</f>
        <v>-13495236.888638891</v>
      </c>
      <c r="H39" s="241">
        <f>E39*0.15</f>
        <v>6289682.399999999</v>
      </c>
      <c r="I39" s="241">
        <f>IF(G39&gt;H39,G39,H39)</f>
        <v>6289682.399999999</v>
      </c>
      <c r="J39" s="333">
        <v>0</v>
      </c>
      <c r="K39" s="237">
        <f>I39+J39</f>
        <v>6289682.399999999</v>
      </c>
      <c r="L39" s="302">
        <f>K39/B39</f>
        <v>1004.0999999999999</v>
      </c>
    </row>
    <row r="40" spans="1:12" ht="12.75">
      <c r="A40" s="26" t="s">
        <v>281</v>
      </c>
      <c r="B40" s="262"/>
      <c r="C40" s="262"/>
      <c r="D40" s="262"/>
      <c r="E40" s="262"/>
      <c r="F40" s="262"/>
      <c r="G40" s="262"/>
      <c r="H40" s="267"/>
      <c r="J40" s="262"/>
      <c r="K40" s="262"/>
      <c r="L40" s="262"/>
    </row>
    <row r="41" spans="1:12" ht="12.75">
      <c r="A41" s="23"/>
      <c r="B41" s="240"/>
      <c r="C41" s="255"/>
      <c r="D41" s="255"/>
      <c r="E41" s="255"/>
      <c r="F41" s="255"/>
      <c r="G41" s="255"/>
      <c r="H41" s="255"/>
      <c r="J41" s="255"/>
      <c r="K41" s="255"/>
      <c r="L41" s="255"/>
    </row>
    <row r="42" spans="1:12" ht="12.75">
      <c r="A42" s="23" t="s">
        <v>209</v>
      </c>
      <c r="B42" s="240"/>
      <c r="C42" s="240"/>
      <c r="D42" s="240"/>
      <c r="E42" s="240"/>
      <c r="F42" s="240"/>
      <c r="G42" s="240"/>
      <c r="H42" s="240"/>
      <c r="I42" s="267"/>
      <c r="J42" s="240"/>
      <c r="K42" s="240"/>
      <c r="L42" s="240"/>
    </row>
    <row r="43" spans="1:12" ht="12.75">
      <c r="A43" s="23"/>
      <c r="B43" s="240"/>
      <c r="C43" s="240"/>
      <c r="D43" s="240"/>
      <c r="E43" s="240"/>
      <c r="F43" s="240"/>
      <c r="G43" s="240"/>
      <c r="H43" s="240"/>
      <c r="I43" s="267"/>
      <c r="J43" s="240"/>
      <c r="K43" s="240"/>
      <c r="L43" s="240"/>
    </row>
    <row r="44" spans="1:12" ht="12.75">
      <c r="A44" s="250" t="s">
        <v>266</v>
      </c>
      <c r="B44" s="240"/>
      <c r="C44" s="240"/>
      <c r="D44" s="240"/>
      <c r="E44" s="240"/>
      <c r="F44" s="240"/>
      <c r="G44" s="240"/>
      <c r="H44" s="240"/>
      <c r="I44" s="268"/>
      <c r="J44" s="240"/>
      <c r="K44" s="240"/>
      <c r="L44" s="240"/>
    </row>
    <row r="45" spans="1:12" ht="12.75">
      <c r="A45" s="23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</row>
    <row r="46" spans="1:12" ht="12.75">
      <c r="A46" s="23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</row>
    <row r="47" spans="1:12" ht="12.75">
      <c r="A47" s="23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</row>
    <row r="48" spans="1:12" ht="12.75">
      <c r="A48" s="23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</row>
    <row r="49" spans="1:12" ht="12.75">
      <c r="A49" s="23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</row>
    <row r="50" spans="1:12" ht="12.75">
      <c r="A50" s="23"/>
      <c r="B50" s="240"/>
      <c r="C50" s="240"/>
      <c r="D50" s="240"/>
      <c r="E50" s="240"/>
      <c r="F50" s="266"/>
      <c r="G50" s="240"/>
      <c r="H50" s="240"/>
      <c r="I50" s="240"/>
      <c r="J50" s="240"/>
      <c r="K50" s="240"/>
      <c r="L50" s="240"/>
    </row>
    <row r="51" spans="1:12" ht="12.75">
      <c r="A51" s="23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</row>
    <row r="52" spans="1:12" ht="12.75">
      <c r="A52" s="23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</row>
    <row r="53" spans="1:12" ht="12.75">
      <c r="A53" s="23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</row>
    <row r="54" spans="1:12" ht="12.75">
      <c r="A54" s="23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</row>
    <row r="55" spans="1:12" ht="12.75">
      <c r="A55" s="23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</row>
    <row r="56" spans="1:12" ht="12.75">
      <c r="A56" s="23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</row>
    <row r="57" spans="1:12" ht="12.75">
      <c r="A57" s="23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</row>
    <row r="58" spans="1:12" ht="12.75">
      <c r="A58" s="23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</row>
    <row r="59" spans="1:12" ht="12.75">
      <c r="A59" s="23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</row>
    <row r="60" spans="1:12" ht="12.75">
      <c r="A60" s="23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</row>
    <row r="61" spans="1:12" ht="12.75">
      <c r="A61" s="23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</row>
    <row r="62" spans="1:12" ht="12.75">
      <c r="A62" s="23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</row>
    <row r="63" spans="1:12" ht="12.75">
      <c r="A63" s="23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</row>
    <row r="64" spans="1:12" ht="12.75">
      <c r="A64" s="23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</row>
    <row r="65" spans="1:12" ht="12.75">
      <c r="A65" s="23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</row>
    <row r="66" spans="1:12" ht="12.75">
      <c r="A66" s="23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</row>
    <row r="67" spans="1:12" ht="12.75">
      <c r="A67" s="23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</row>
    <row r="68" spans="1:12" ht="12.75">
      <c r="A68" s="23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</row>
    <row r="69" spans="1:12" ht="12.75">
      <c r="A69" s="23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</row>
    <row r="70" spans="1:12" ht="12.75">
      <c r="A70" s="23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</row>
    <row r="71" spans="1:12" ht="12.75">
      <c r="A71" s="23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</row>
    <row r="72" spans="1:12" ht="12.75">
      <c r="A72" s="23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</row>
    <row r="73" spans="1:12" ht="12.75">
      <c r="A73" s="23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</row>
    <row r="74" spans="2:12" ht="12.75"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</row>
    <row r="75" spans="2:12" ht="12.75"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</row>
    <row r="76" spans="2:12" ht="12.75"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</row>
    <row r="77" spans="2:12" ht="12.75"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</row>
    <row r="78" spans="2:12" ht="12.75"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</row>
    <row r="79" spans="2:12" ht="12.75"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</row>
    <row r="80" spans="2:12" ht="12.75"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</row>
    <row r="81" spans="2:12" ht="12.75"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</row>
    <row r="82" spans="2:12" ht="12.75"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</row>
    <row r="83" spans="2:12" ht="12.75"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</row>
    <row r="84" spans="2:12" ht="12.75"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</row>
    <row r="85" spans="2:12" ht="12.75"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</row>
    <row r="86" spans="2:12" ht="12.75"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</row>
    <row r="87" spans="2:12" ht="12.75"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</row>
    <row r="88" spans="2:12" ht="12.75"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</row>
    <row r="89" spans="2:12" ht="12.75"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</row>
    <row r="90" spans="2:12" ht="12.75"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</row>
    <row r="91" spans="2:12" ht="12.75"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</row>
    <row r="92" spans="2:12" ht="12.75"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</row>
    <row r="93" spans="2:12" ht="12.75"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</row>
    <row r="94" spans="2:12" ht="12.75"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</row>
    <row r="95" spans="2:12" ht="12.75"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</row>
    <row r="96" spans="2:12" ht="12.75"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</row>
    <row r="97" spans="2:12" ht="12.75"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</row>
    <row r="98" spans="2:12" ht="12.75"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</row>
    <row r="99" spans="2:12" ht="12.75"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</row>
    <row r="100" spans="2:12" ht="12.75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</row>
    <row r="101" spans="2:12" ht="12.75"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</row>
    <row r="102" spans="2:12" ht="12.75"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</row>
    <row r="103" spans="2:12" ht="12.75"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</row>
    <row r="104" spans="2:12" ht="12.75"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</row>
    <row r="105" spans="2:12" ht="12.75"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</row>
    <row r="106" spans="2:12" ht="12.75"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</row>
    <row r="107" spans="2:12" ht="12.75"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</row>
    <row r="108" spans="2:12" ht="12.75"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</row>
  </sheetData>
  <sheetProtection password="CAF5" sheet="1" objects="1" scenarios="1"/>
  <mergeCells count="13">
    <mergeCell ref="A5:A9"/>
    <mergeCell ref="G5:L5"/>
    <mergeCell ref="J6:J9"/>
    <mergeCell ref="E5:E9"/>
    <mergeCell ref="F5:F9"/>
    <mergeCell ref="G6:G9"/>
    <mergeCell ref="H6:H9"/>
    <mergeCell ref="I6:I9"/>
    <mergeCell ref="K6:K9"/>
    <mergeCell ref="L6:L9"/>
    <mergeCell ref="D5:D9"/>
    <mergeCell ref="C5:C9"/>
    <mergeCell ref="B5:B9"/>
  </mergeCells>
  <printOptions horizontalCentered="1"/>
  <pageMargins left="0.61" right="0.75" top="0.83" bottom="1" header="0.67" footer="0.5"/>
  <pageSetup fitToHeight="1" fitToWidth="1" horizontalDpi="600" verticalDpi="600" orientation="landscape" scale="68" r:id="rId1"/>
  <headerFooter alignWithMargins="0">
    <oddHeader>&amp;R
</oddHeader>
    <oddFooter>&amp;L&amp;"Arial,Italic"&amp;9MSDE - LFRO  11 / 2012&amp;C- 17 -&amp;R&amp;"Arial,Italic"&amp;9Selected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21.57421875" style="24" customWidth="1"/>
    <col min="2" max="2" width="14.7109375" style="24" customWidth="1"/>
    <col min="3" max="3" width="12.421875" style="24" customWidth="1"/>
    <col min="4" max="4" width="12.57421875" style="207" customWidth="1"/>
    <col min="5" max="5" width="17.421875" style="24" customWidth="1"/>
    <col min="6" max="6" width="15.28125" style="24" customWidth="1"/>
    <col min="7" max="7" width="16.7109375" style="24" customWidth="1"/>
    <col min="8" max="8" width="15.421875" style="24" customWidth="1"/>
    <col min="9" max="9" width="17.8515625" style="24" customWidth="1"/>
    <col min="10" max="11" width="11.421875" style="24" customWidth="1"/>
    <col min="12" max="12" width="14.57421875" style="24" customWidth="1"/>
    <col min="13" max="16384" width="11.421875" style="24" customWidth="1"/>
  </cols>
  <sheetData>
    <row r="1" spans="1:13" ht="12.75">
      <c r="A1" s="22" t="s">
        <v>96</v>
      </c>
      <c r="B1" s="22"/>
      <c r="C1" s="22"/>
      <c r="D1" s="206"/>
      <c r="E1" s="22"/>
      <c r="F1" s="22"/>
      <c r="G1" s="22"/>
      <c r="H1" s="22"/>
      <c r="I1" s="22"/>
      <c r="J1" s="23"/>
      <c r="K1" s="23"/>
      <c r="L1" s="23"/>
      <c r="M1" s="23"/>
    </row>
    <row r="2" spans="1:13" ht="12.75">
      <c r="A2" s="22"/>
      <c r="B2" s="22"/>
      <c r="C2" s="22"/>
      <c r="D2" s="206"/>
      <c r="E2" s="22"/>
      <c r="F2" s="22"/>
      <c r="G2" s="22"/>
      <c r="H2" s="22"/>
      <c r="I2" s="22"/>
      <c r="J2" s="23"/>
      <c r="K2" s="23"/>
      <c r="L2" s="23"/>
      <c r="M2" s="23"/>
    </row>
    <row r="3" spans="1:13" ht="12.75">
      <c r="A3" s="22" t="s">
        <v>277</v>
      </c>
      <c r="B3" s="22"/>
      <c r="C3" s="22"/>
      <c r="D3" s="206"/>
      <c r="E3" s="22"/>
      <c r="F3" s="22"/>
      <c r="G3" s="22"/>
      <c r="H3" s="22"/>
      <c r="I3" s="22"/>
      <c r="J3" s="23"/>
      <c r="K3" s="23"/>
      <c r="L3" s="23"/>
      <c r="M3" s="23"/>
    </row>
    <row r="4" spans="1:13" ht="12.75">
      <c r="A4" s="22"/>
      <c r="B4" s="22"/>
      <c r="C4" s="22"/>
      <c r="D4" s="206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46"/>
      <c r="B5" s="46"/>
      <c r="C5" s="46"/>
      <c r="D5" s="171"/>
      <c r="E5" s="46"/>
      <c r="F5" s="46"/>
      <c r="G5" s="46"/>
      <c r="H5" s="46"/>
      <c r="I5" s="46"/>
      <c r="J5" s="23"/>
      <c r="K5" s="23"/>
      <c r="L5" s="23"/>
      <c r="M5" s="23"/>
    </row>
    <row r="6" spans="1:13" ht="13.5" customHeight="1" thickTop="1">
      <c r="A6" s="23"/>
      <c r="B6" s="535" t="s">
        <v>267</v>
      </c>
      <c r="C6" s="540" t="s">
        <v>217</v>
      </c>
      <c r="D6" s="541" t="s">
        <v>169</v>
      </c>
      <c r="E6" s="539" t="s">
        <v>168</v>
      </c>
      <c r="F6" s="535" t="s">
        <v>268</v>
      </c>
      <c r="G6" s="539" t="s">
        <v>170</v>
      </c>
      <c r="H6" s="539" t="s">
        <v>193</v>
      </c>
      <c r="I6" s="539" t="s">
        <v>171</v>
      </c>
      <c r="J6" s="23"/>
      <c r="K6" s="23"/>
      <c r="L6" s="23"/>
      <c r="M6" s="23"/>
    </row>
    <row r="7" spans="1:13" ht="12.75">
      <c r="A7" s="34" t="s">
        <v>77</v>
      </c>
      <c r="B7" s="536"/>
      <c r="C7" s="538"/>
      <c r="D7" s="435"/>
      <c r="E7" s="538"/>
      <c r="F7" s="538"/>
      <c r="G7" s="538"/>
      <c r="H7" s="480"/>
      <c r="I7" s="538"/>
      <c r="J7" s="23"/>
      <c r="K7" s="23"/>
      <c r="L7" s="23"/>
      <c r="M7" s="23"/>
    </row>
    <row r="8" spans="1:13" ht="12.75">
      <c r="A8" s="32" t="s">
        <v>33</v>
      </c>
      <c r="B8" s="536"/>
      <c r="C8" s="480"/>
      <c r="D8" s="542"/>
      <c r="E8" s="480"/>
      <c r="F8" s="538"/>
      <c r="G8" s="480"/>
      <c r="H8" s="480"/>
      <c r="I8" s="538"/>
      <c r="J8" s="23"/>
      <c r="K8" s="23"/>
      <c r="L8" s="23"/>
      <c r="M8" s="23"/>
    </row>
    <row r="9" spans="1:13" ht="13.5" thickBot="1">
      <c r="A9" s="51" t="s">
        <v>132</v>
      </c>
      <c r="B9" s="537"/>
      <c r="C9" s="48" t="s">
        <v>97</v>
      </c>
      <c r="D9" s="175" t="s">
        <v>98</v>
      </c>
      <c r="E9" s="65" t="s">
        <v>192</v>
      </c>
      <c r="F9" s="456"/>
      <c r="G9" s="65" t="s">
        <v>218</v>
      </c>
      <c r="H9" s="456"/>
      <c r="I9" s="456"/>
      <c r="J9" s="23"/>
      <c r="K9" s="23"/>
      <c r="L9" s="23"/>
      <c r="M9" s="23"/>
    </row>
    <row r="10" spans="1:13" ht="12.75">
      <c r="A10" s="32" t="s">
        <v>0</v>
      </c>
      <c r="B10" s="49">
        <f>SUM(B12:B39)</f>
        <v>306606</v>
      </c>
      <c r="C10" s="50">
        <f>SUM(C12:C39)</f>
        <v>995549682</v>
      </c>
      <c r="D10" s="419">
        <v>518733.4914355587</v>
      </c>
      <c r="E10" s="50">
        <f>SUM(E12:E39)</f>
        <v>1213948970</v>
      </c>
      <c r="F10" s="50">
        <f>SUM(F12:F39)+1</f>
        <v>995549718.3103429</v>
      </c>
      <c r="G10" s="50">
        <f>SUM(G12:G39)-3</f>
        <v>796439742.5999999</v>
      </c>
      <c r="H10" s="50">
        <f>SUM(H12:H39)</f>
        <v>45509869.528032616</v>
      </c>
      <c r="I10" s="50">
        <f>SUM(I12:I39)</f>
        <v>1041059586.8383757</v>
      </c>
      <c r="J10" s="23"/>
      <c r="K10" s="23"/>
      <c r="L10" s="23"/>
      <c r="M10" s="23"/>
    </row>
    <row r="11" spans="1:13" ht="12.75">
      <c r="A11" s="23"/>
      <c r="B11" s="25"/>
      <c r="C11" s="25"/>
      <c r="D11" s="203"/>
      <c r="E11" s="25"/>
      <c r="F11" s="25"/>
      <c r="G11" s="25"/>
      <c r="H11" s="25"/>
      <c r="I11" s="25"/>
      <c r="J11" s="23"/>
      <c r="K11" s="23"/>
      <c r="L11" s="23"/>
      <c r="M11" s="23"/>
    </row>
    <row r="12" spans="1:13" ht="12.75">
      <c r="A12" s="23" t="s">
        <v>1</v>
      </c>
      <c r="B12" s="25">
        <v>4296</v>
      </c>
      <c r="C12" s="25">
        <f aca="true" t="shared" si="0" ref="C12:C22">+B12*3247</f>
        <v>13949112</v>
      </c>
      <c r="D12" s="220">
        <v>272517.0916935113</v>
      </c>
      <c r="E12" s="25">
        <v>26551975</v>
      </c>
      <c r="F12" s="25">
        <f>E12*0.8200919</f>
        <v>21775059.6265025</v>
      </c>
      <c r="G12" s="25">
        <f>C12*0.8</f>
        <v>11159289.600000001</v>
      </c>
      <c r="H12" s="49">
        <f>IF(F12&gt;G12,0,(G12-F12))</f>
        <v>0</v>
      </c>
      <c r="I12" s="25">
        <f>MAX(F12,G12)</f>
        <v>21775059.6265025</v>
      </c>
      <c r="J12" s="29"/>
      <c r="K12" s="23"/>
      <c r="L12" s="25"/>
      <c r="M12" s="23"/>
    </row>
    <row r="13" spans="1:13" ht="12.75">
      <c r="A13" s="219" t="s">
        <v>2</v>
      </c>
      <c r="B13" s="25">
        <v>18498</v>
      </c>
      <c r="C13" s="25">
        <f t="shared" si="0"/>
        <v>60063006</v>
      </c>
      <c r="D13" s="220">
        <v>648477.2529743741</v>
      </c>
      <c r="E13" s="25">
        <v>48045904</v>
      </c>
      <c r="F13" s="25">
        <f>E13*0.8200919</f>
        <v>39402056.6985776</v>
      </c>
      <c r="G13" s="25">
        <f>C13*0.8</f>
        <v>48050404.800000004</v>
      </c>
      <c r="H13" s="49">
        <f>IF(F13&gt;G13,0,(G13-F13))</f>
        <v>8648348.101422407</v>
      </c>
      <c r="I13" s="25">
        <f>MAX(F13,G13)</f>
        <v>48050404.800000004</v>
      </c>
      <c r="J13" s="23"/>
      <c r="K13" s="23"/>
      <c r="L13" s="25"/>
      <c r="M13" s="23"/>
    </row>
    <row r="14" spans="1:13" ht="12.75">
      <c r="A14" s="23" t="s">
        <v>3</v>
      </c>
      <c r="B14" s="25">
        <v>65682</v>
      </c>
      <c r="C14" s="25">
        <f t="shared" si="0"/>
        <v>213269454</v>
      </c>
      <c r="D14" s="220">
        <v>290050.488403137</v>
      </c>
      <c r="E14" s="25">
        <v>381416634</v>
      </c>
      <c r="F14" s="25">
        <f>E14*0.8200919</f>
        <v>312796692.0686646</v>
      </c>
      <c r="G14" s="25">
        <f>C14*0.8</f>
        <v>170615563.20000002</v>
      </c>
      <c r="H14" s="49">
        <f>IF(F14&gt;G14,0,(G14-F14))</f>
        <v>0</v>
      </c>
      <c r="I14" s="25">
        <f>MAX(F14,G14)</f>
        <v>312796692.0686646</v>
      </c>
      <c r="J14" s="23"/>
      <c r="K14" s="23"/>
      <c r="L14" s="25"/>
      <c r="M14" s="23"/>
    </row>
    <row r="15" spans="1:13" ht="12.75">
      <c r="A15" s="23" t="s">
        <v>4</v>
      </c>
      <c r="B15" s="25">
        <v>39054</v>
      </c>
      <c r="C15" s="25">
        <f t="shared" si="0"/>
        <v>126808338</v>
      </c>
      <c r="D15" s="220">
        <v>525393.7098282364</v>
      </c>
      <c r="E15" s="25">
        <v>125200649</v>
      </c>
      <c r="F15" s="25">
        <f>E15*0.8200919</f>
        <v>102676038.11964309</v>
      </c>
      <c r="G15" s="25">
        <f>C15*0.8</f>
        <v>101446670.4</v>
      </c>
      <c r="H15" s="49">
        <f>IF(F15&gt;G15,0,(G15-F15))</f>
        <v>0</v>
      </c>
      <c r="I15" s="25">
        <f>MAX(F15,G15)</f>
        <v>102676038.11964309</v>
      </c>
      <c r="J15" s="23"/>
      <c r="K15" s="23"/>
      <c r="L15" s="25"/>
      <c r="M15" s="23"/>
    </row>
    <row r="16" spans="1:13" ht="12.75">
      <c r="A16" s="23" t="s">
        <v>5</v>
      </c>
      <c r="B16" s="25">
        <v>3013</v>
      </c>
      <c r="C16" s="25">
        <f t="shared" si="0"/>
        <v>9783211</v>
      </c>
      <c r="D16" s="220">
        <v>452949.9253890685</v>
      </c>
      <c r="E16" s="25">
        <v>11204050</v>
      </c>
      <c r="F16" s="25">
        <f>E16*0.8200919</f>
        <v>9188350.652195</v>
      </c>
      <c r="G16" s="25">
        <f>C16*0.8</f>
        <v>7826568.800000001</v>
      </c>
      <c r="H16" s="49">
        <f>IF(F16&gt;G16,0,(G16-F16))</f>
        <v>0</v>
      </c>
      <c r="I16" s="25">
        <f>MAX(F16,G16)</f>
        <v>9188350.652195</v>
      </c>
      <c r="J16" s="23"/>
      <c r="K16" s="23"/>
      <c r="L16" s="25"/>
      <c r="M16" s="23"/>
    </row>
    <row r="17" spans="1:13" ht="12.75">
      <c r="A17" s="23"/>
      <c r="B17" s="25"/>
      <c r="C17" s="25"/>
      <c r="E17" s="25"/>
      <c r="F17" s="25"/>
      <c r="G17" s="25"/>
      <c r="H17" s="25"/>
      <c r="I17" s="25"/>
      <c r="J17" s="23"/>
      <c r="K17" s="23"/>
      <c r="L17" s="25"/>
      <c r="M17" s="23"/>
    </row>
    <row r="18" spans="1:13" ht="12.75">
      <c r="A18" s="23" t="s">
        <v>6</v>
      </c>
      <c r="B18" s="25">
        <v>2631</v>
      </c>
      <c r="C18" s="25">
        <f t="shared" si="0"/>
        <v>8542857</v>
      </c>
      <c r="D18" s="203">
        <v>324375.2494257274</v>
      </c>
      <c r="E18" s="25">
        <v>13661539</v>
      </c>
      <c r="F18" s="25">
        <f>E18*0.8200919</f>
        <v>11203717.4754341</v>
      </c>
      <c r="G18" s="25">
        <f>C18*0.8</f>
        <v>6834285.600000001</v>
      </c>
      <c r="H18" s="49">
        <f>IF(F18&gt;G18,0,(G18-F18))</f>
        <v>0</v>
      </c>
      <c r="I18" s="25">
        <f>MAX(F18,G18)</f>
        <v>11203717.4754341</v>
      </c>
      <c r="J18" s="23"/>
      <c r="K18" s="23"/>
      <c r="L18" s="25"/>
      <c r="M18" s="23"/>
    </row>
    <row r="19" spans="1:13" ht="12.75">
      <c r="A19" s="23" t="s">
        <v>7</v>
      </c>
      <c r="B19" s="25">
        <v>3829</v>
      </c>
      <c r="C19" s="25">
        <f t="shared" si="0"/>
        <v>12432763</v>
      </c>
      <c r="D19" s="203">
        <v>452808.17809468234</v>
      </c>
      <c r="E19" s="25">
        <v>14242868</v>
      </c>
      <c r="F19" s="25">
        <f>E19*0.8200919</f>
        <v>11680460.6795692</v>
      </c>
      <c r="G19" s="25">
        <f>C19*0.8</f>
        <v>9946210.4</v>
      </c>
      <c r="H19" s="49">
        <f>IF(F19&gt;G19,0,(G19-F19))</f>
        <v>0</v>
      </c>
      <c r="I19" s="25">
        <f>MAX(F19,G19)</f>
        <v>11680460.6795692</v>
      </c>
      <c r="J19" s="23"/>
      <c r="K19" s="23"/>
      <c r="L19" s="25"/>
      <c r="M19" s="23"/>
    </row>
    <row r="20" spans="1:13" ht="12.75">
      <c r="A20" s="23" t="s">
        <v>8</v>
      </c>
      <c r="B20" s="273">
        <v>5455</v>
      </c>
      <c r="C20" s="25">
        <f t="shared" si="0"/>
        <v>17712385</v>
      </c>
      <c r="D20" s="203">
        <v>391394.6824583867</v>
      </c>
      <c r="E20" s="25">
        <v>23475003</v>
      </c>
      <c r="F20" s="25">
        <f>E20*0.8200919</f>
        <v>19251659.8127757</v>
      </c>
      <c r="G20" s="25">
        <f>C20*0.8</f>
        <v>14169908</v>
      </c>
      <c r="H20" s="49">
        <f>IF(F20&gt;G20,0,(G20-F20))</f>
        <v>0</v>
      </c>
      <c r="I20" s="25">
        <f>MAX(F20,G20)</f>
        <v>19251659.8127757</v>
      </c>
      <c r="J20" s="23"/>
      <c r="K20" s="23"/>
      <c r="L20" s="25"/>
      <c r="M20" s="23"/>
    </row>
    <row r="21" spans="1:13" ht="12.75">
      <c r="A21" s="23" t="s">
        <v>9</v>
      </c>
      <c r="B21" s="25">
        <v>6844</v>
      </c>
      <c r="C21" s="25">
        <f t="shared" si="0"/>
        <v>22222468</v>
      </c>
      <c r="D21" s="203">
        <v>413750.5339086951</v>
      </c>
      <c r="E21" s="25">
        <v>27861027</v>
      </c>
      <c r="F21" s="25">
        <f>E21*0.8200919</f>
        <v>22848602.5683813</v>
      </c>
      <c r="G21" s="25">
        <f>C21*0.8</f>
        <v>17777974.400000002</v>
      </c>
      <c r="H21" s="49">
        <f>IF(F21&gt;G21,0,(G21-F21))</f>
        <v>0</v>
      </c>
      <c r="I21" s="25">
        <f>MAX(F21,G21)</f>
        <v>22848602.5683813</v>
      </c>
      <c r="J21" s="23"/>
      <c r="K21" s="23"/>
      <c r="L21" s="25"/>
      <c r="M21" s="23"/>
    </row>
    <row r="22" spans="1:13" ht="12.75">
      <c r="A22" s="23" t="s">
        <v>10</v>
      </c>
      <c r="B22" s="25">
        <v>2419</v>
      </c>
      <c r="C22" s="25">
        <f t="shared" si="0"/>
        <v>7854493</v>
      </c>
      <c r="D22" s="203">
        <v>412812.59519492293</v>
      </c>
      <c r="E22" s="25">
        <v>9869807</v>
      </c>
      <c r="F22" s="25">
        <f>E22*0.8200919</f>
        <v>8094148.7752633</v>
      </c>
      <c r="G22" s="25">
        <f>C22*0.8</f>
        <v>6283594.4</v>
      </c>
      <c r="H22" s="49">
        <f>IF(F22&gt;G22,0,(G22-F22))</f>
        <v>0</v>
      </c>
      <c r="I22" s="25">
        <f>MAX(F22,G22)</f>
        <v>8094148.7752633</v>
      </c>
      <c r="J22" s="23"/>
      <c r="K22" s="23"/>
      <c r="L22" s="25"/>
      <c r="M22" s="23"/>
    </row>
    <row r="23" spans="1:13" ht="12.75">
      <c r="A23" s="23"/>
      <c r="B23" s="25"/>
      <c r="C23" s="25"/>
      <c r="D23" s="203"/>
      <c r="E23" s="25"/>
      <c r="F23" s="25"/>
      <c r="G23" s="25"/>
      <c r="H23" s="25"/>
      <c r="I23" s="25"/>
      <c r="J23" s="23"/>
      <c r="K23" s="23"/>
      <c r="L23" s="25"/>
      <c r="M23" s="23"/>
    </row>
    <row r="24" spans="1:13" ht="12.75">
      <c r="A24" s="23" t="s">
        <v>11</v>
      </c>
      <c r="B24" s="25">
        <v>7902</v>
      </c>
      <c r="C24" s="25">
        <f>+B24*3247</f>
        <v>25657794</v>
      </c>
      <c r="D24" s="203">
        <v>454814.3610124476</v>
      </c>
      <c r="E24" s="25">
        <v>29263709</v>
      </c>
      <c r="F24" s="25">
        <f>E24*0.8200919</f>
        <v>23998930.714857098</v>
      </c>
      <c r="G24" s="25">
        <f>C24*0.8</f>
        <v>20526235.200000003</v>
      </c>
      <c r="H24" s="49">
        <f>IF(F24&gt;G24,0,(G24-F24))</f>
        <v>0</v>
      </c>
      <c r="I24" s="25">
        <f>MAX(F24,G24)</f>
        <v>23998930.714857098</v>
      </c>
      <c r="J24" s="23"/>
      <c r="K24" s="23"/>
      <c r="L24" s="25"/>
      <c r="M24" s="23"/>
    </row>
    <row r="25" spans="1:13" ht="12.75">
      <c r="A25" s="23" t="s">
        <v>12</v>
      </c>
      <c r="B25" s="25">
        <v>1947</v>
      </c>
      <c r="C25" s="25">
        <f>+B25*3247</f>
        <v>6321909</v>
      </c>
      <c r="D25" s="203">
        <v>542523.233279541</v>
      </c>
      <c r="E25" s="25">
        <v>6044689</v>
      </c>
      <c r="F25" s="25">
        <f>E25*0.8200919</f>
        <v>4957200.486919099</v>
      </c>
      <c r="G25" s="25">
        <f>C25*0.8</f>
        <v>5057527.2</v>
      </c>
      <c r="H25" s="49">
        <f>IF(F25&gt;G25,0,(G25-F25))</f>
        <v>100326.71308090072</v>
      </c>
      <c r="I25" s="25">
        <f>MAX(F25,G25)</f>
        <v>5057527.2</v>
      </c>
      <c r="J25" s="23"/>
      <c r="K25" s="23"/>
      <c r="L25" s="25"/>
      <c r="M25" s="23"/>
    </row>
    <row r="26" spans="1:13" ht="12.75">
      <c r="A26" s="23" t="s">
        <v>13</v>
      </c>
      <c r="B26" s="25">
        <v>9464</v>
      </c>
      <c r="C26" s="25">
        <f>+B26*3247</f>
        <v>30729608</v>
      </c>
      <c r="D26" s="203">
        <v>435417.85457728733</v>
      </c>
      <c r="E26" s="25">
        <v>36609561</v>
      </c>
      <c r="F26" s="25">
        <f>E26*0.8200919</f>
        <v>30023204.438655898</v>
      </c>
      <c r="G26" s="25">
        <f>C26*0.8</f>
        <v>24583686.400000002</v>
      </c>
      <c r="H26" s="49">
        <f>IF(F26&gt;G26,0,(G26-F26))</f>
        <v>0</v>
      </c>
      <c r="I26" s="25">
        <f>MAX(F26,G26)</f>
        <v>30023204.438655898</v>
      </c>
      <c r="J26" s="23"/>
      <c r="K26" s="23"/>
      <c r="L26" s="25"/>
      <c r="M26" s="23"/>
    </row>
    <row r="27" spans="1:13" ht="12.75">
      <c r="A27" s="23" t="s">
        <v>14</v>
      </c>
      <c r="B27" s="25">
        <v>7149</v>
      </c>
      <c r="C27" s="25">
        <f>+B27*3247</f>
        <v>23212803</v>
      </c>
      <c r="D27" s="203">
        <v>566900.5468117256</v>
      </c>
      <c r="E27" s="25">
        <v>21240476</v>
      </c>
      <c r="F27" s="25">
        <f>E27*0.8200919</f>
        <v>17419142.3197444</v>
      </c>
      <c r="G27" s="25">
        <f>C27*0.8</f>
        <v>18570242.400000002</v>
      </c>
      <c r="H27" s="49">
        <f>IF(F27&gt;G27,0,(G27-F27))</f>
        <v>1151100.0802556016</v>
      </c>
      <c r="I27" s="25">
        <f>MAX(F27,G27)</f>
        <v>18570242.400000002</v>
      </c>
      <c r="J27" s="23"/>
      <c r="K27" s="23"/>
      <c r="L27" s="25"/>
      <c r="M27" s="23"/>
    </row>
    <row r="28" spans="1:13" ht="12.75">
      <c r="A28" s="23" t="s">
        <v>15</v>
      </c>
      <c r="B28" s="25">
        <v>917</v>
      </c>
      <c r="C28" s="25">
        <f>+B28*3247</f>
        <v>2977499</v>
      </c>
      <c r="D28" s="203">
        <v>783593.4286407767</v>
      </c>
      <c r="E28" s="25">
        <v>1971083</v>
      </c>
      <c r="F28" s="25">
        <f>E28*0.8200919</f>
        <v>1616469.2025277</v>
      </c>
      <c r="G28" s="25">
        <f>C28*0.8</f>
        <v>2381999.2</v>
      </c>
      <c r="H28" s="49">
        <f>IF(F28&gt;G28,0,(G28-F28))</f>
        <v>765529.9974723002</v>
      </c>
      <c r="I28" s="25">
        <f>MAX(F28,G28)</f>
        <v>2381999.2</v>
      </c>
      <c r="J28" s="23"/>
      <c r="K28" s="23"/>
      <c r="L28" s="25"/>
      <c r="M28" s="23"/>
    </row>
    <row r="29" spans="1:13" ht="12.75">
      <c r="A29" s="23"/>
      <c r="B29" s="25"/>
      <c r="C29" s="25"/>
      <c r="D29" s="203"/>
      <c r="E29" s="25"/>
      <c r="F29" s="25"/>
      <c r="G29" s="25"/>
      <c r="H29" s="25"/>
      <c r="I29" s="25"/>
      <c r="J29" s="23"/>
      <c r="K29" s="23"/>
      <c r="L29" s="25"/>
      <c r="M29" s="23"/>
    </row>
    <row r="30" spans="1:13" ht="12.75">
      <c r="A30" s="23" t="s">
        <v>16</v>
      </c>
      <c r="B30" s="25">
        <v>38762</v>
      </c>
      <c r="C30" s="25">
        <f aca="true" t="shared" si="1" ref="C30:C39">+B30*3247</f>
        <v>125860214</v>
      </c>
      <c r="D30" s="203">
        <v>740535.3359743882</v>
      </c>
      <c r="E30" s="25">
        <v>88163082</v>
      </c>
      <c r="F30" s="25">
        <f>E30*0.8200919</f>
        <v>72301829.4272358</v>
      </c>
      <c r="G30" s="25">
        <f>C30*0.8</f>
        <v>100688171.2</v>
      </c>
      <c r="H30" s="49">
        <f>IF(F30&gt;G30,0,(G30-F30))</f>
        <v>28386341.772764206</v>
      </c>
      <c r="I30" s="25">
        <f>MAX(F30,G30)</f>
        <v>100688171.2</v>
      </c>
      <c r="J30" s="23"/>
      <c r="K30" s="23"/>
      <c r="L30" s="25"/>
      <c r="M30" s="23"/>
    </row>
    <row r="31" spans="1:13" ht="12.75">
      <c r="A31" s="23" t="s">
        <v>17</v>
      </c>
      <c r="B31" s="25">
        <v>61663</v>
      </c>
      <c r="C31" s="25">
        <f t="shared" si="1"/>
        <v>200219761</v>
      </c>
      <c r="D31" s="203">
        <v>433555.9194063447</v>
      </c>
      <c r="E31" s="25">
        <v>239555205</v>
      </c>
      <c r="F31" s="25">
        <f>E31*0.8200919</f>
        <v>196457283.2233395</v>
      </c>
      <c r="G31" s="25">
        <f>C31*0.8</f>
        <v>160175808.8</v>
      </c>
      <c r="H31" s="49">
        <f>IF(F31&gt;G31,0,(G31-F31))</f>
        <v>0</v>
      </c>
      <c r="I31" s="25">
        <f>MAX(F31,G31)</f>
        <v>196457283.2233395</v>
      </c>
      <c r="J31" s="23"/>
      <c r="K31" s="23"/>
      <c r="L31" s="25"/>
      <c r="M31" s="23"/>
    </row>
    <row r="32" spans="1:13" ht="12.75">
      <c r="A32" s="23" t="s">
        <v>18</v>
      </c>
      <c r="B32" s="25">
        <v>1525</v>
      </c>
      <c r="C32" s="25">
        <f t="shared" si="1"/>
        <v>4951675</v>
      </c>
      <c r="D32" s="203">
        <v>617756.9192189381</v>
      </c>
      <c r="E32" s="25">
        <v>4157941</v>
      </c>
      <c r="F32" s="25">
        <f>E32*0.8200919</f>
        <v>3409893.7347779</v>
      </c>
      <c r="G32" s="25">
        <f>C32*0.8</f>
        <v>3961340</v>
      </c>
      <c r="H32" s="49">
        <f>IF(F32&gt;G32,0,(G32-F32))</f>
        <v>551446.2652221001</v>
      </c>
      <c r="I32" s="25">
        <f>MAX(F32,G32)</f>
        <v>3961340</v>
      </c>
      <c r="J32" s="23"/>
      <c r="K32" s="23"/>
      <c r="L32" s="25"/>
      <c r="M32" s="23"/>
    </row>
    <row r="33" spans="1:13" ht="12.75">
      <c r="A33" s="23" t="s">
        <v>19</v>
      </c>
      <c r="B33" s="25">
        <v>4235</v>
      </c>
      <c r="C33" s="25">
        <f t="shared" si="1"/>
        <v>13751045</v>
      </c>
      <c r="D33" s="203">
        <v>432658.38916707376</v>
      </c>
      <c r="E33" s="25">
        <v>16486741</v>
      </c>
      <c r="F33" s="25">
        <f>E33*0.8200919</f>
        <v>13520642.7514979</v>
      </c>
      <c r="G33" s="25">
        <f>C33*0.8</f>
        <v>11000836</v>
      </c>
      <c r="H33" s="49">
        <f>IF(F33&gt;G33,0,(G33-F33))</f>
        <v>0</v>
      </c>
      <c r="I33" s="25">
        <f>MAX(F33,G33)</f>
        <v>13520642.7514979</v>
      </c>
      <c r="J33" s="23"/>
      <c r="K33" s="23"/>
      <c r="L33" s="25"/>
      <c r="M33" s="23"/>
    </row>
    <row r="34" spans="1:13" ht="12.75">
      <c r="A34" s="23" t="s">
        <v>20</v>
      </c>
      <c r="B34" s="25">
        <v>1743</v>
      </c>
      <c r="C34" s="25">
        <f t="shared" si="1"/>
        <v>5659521</v>
      </c>
      <c r="D34" s="203">
        <v>339417.418077528</v>
      </c>
      <c r="E34" s="25">
        <v>8649479</v>
      </c>
      <c r="F34" s="25">
        <f>E34*0.8200919</f>
        <v>7093367.6671201</v>
      </c>
      <c r="G34" s="25">
        <f>C34*0.8</f>
        <v>4527616.8</v>
      </c>
      <c r="H34" s="49">
        <f>IF(F34&gt;G34,0,(G34-F34))</f>
        <v>0</v>
      </c>
      <c r="I34" s="25">
        <f>MAX(F34,G34)</f>
        <v>7093367.6671201</v>
      </c>
      <c r="J34" s="23"/>
      <c r="K34" s="23"/>
      <c r="L34" s="25"/>
      <c r="M34" s="23"/>
    </row>
    <row r="35" spans="1:13" ht="12.75">
      <c r="A35" s="23"/>
      <c r="B35" s="25"/>
      <c r="C35" s="25"/>
      <c r="D35" s="203"/>
      <c r="E35" s="25"/>
      <c r="F35" s="25"/>
      <c r="G35" s="25"/>
      <c r="H35" s="25"/>
      <c r="I35" s="25"/>
      <c r="J35" s="23"/>
      <c r="K35" s="23"/>
      <c r="L35" s="25"/>
      <c r="M35" s="23"/>
    </row>
    <row r="36" spans="1:13" ht="12.75">
      <c r="A36" s="23" t="s">
        <v>21</v>
      </c>
      <c r="B36" s="25">
        <v>1414</v>
      </c>
      <c r="C36" s="25">
        <f t="shared" si="1"/>
        <v>4591258</v>
      </c>
      <c r="D36" s="203">
        <v>1142003.0154458226</v>
      </c>
      <c r="E36" s="25">
        <v>2085491</v>
      </c>
      <c r="F36" s="25">
        <f>E36*0.8200919</f>
        <v>1710294.2766229</v>
      </c>
      <c r="G36" s="25">
        <f>C36*0.8</f>
        <v>3673006.4000000004</v>
      </c>
      <c r="H36" s="49">
        <f>IF(F36&gt;G36,0,(G36-F36))</f>
        <v>1962712.1233771003</v>
      </c>
      <c r="I36" s="25">
        <f>MAX(F36,G36)</f>
        <v>3673006.4000000004</v>
      </c>
      <c r="J36" s="23"/>
      <c r="K36" s="23"/>
      <c r="L36" s="25"/>
      <c r="M36" s="23"/>
    </row>
    <row r="37" spans="1:13" ht="12.75">
      <c r="A37" s="23" t="s">
        <v>22</v>
      </c>
      <c r="B37" s="25">
        <v>9019</v>
      </c>
      <c r="C37" s="25">
        <f t="shared" si="1"/>
        <v>29284693</v>
      </c>
      <c r="D37" s="203">
        <v>383087.1516256883</v>
      </c>
      <c r="E37" s="25">
        <v>39654011</v>
      </c>
      <c r="F37" s="25">
        <f>E37*0.8200919</f>
        <v>32519933.2236109</v>
      </c>
      <c r="G37" s="25">
        <f>C37*0.8</f>
        <v>23427754.400000002</v>
      </c>
      <c r="H37" s="49">
        <f>IF(F37&gt;G37,0,(G37-F37))</f>
        <v>0</v>
      </c>
      <c r="I37" s="25">
        <f>MAX(F37,G37)</f>
        <v>32519933.2236109</v>
      </c>
      <c r="J37" s="23"/>
      <c r="K37" s="23"/>
      <c r="L37" s="25"/>
      <c r="M37" s="23"/>
    </row>
    <row r="38" spans="1:13" ht="12.75">
      <c r="A38" s="23" t="s">
        <v>23</v>
      </c>
      <c r="B38" s="25">
        <v>6665</v>
      </c>
      <c r="C38" s="25">
        <f t="shared" si="1"/>
        <v>21641255</v>
      </c>
      <c r="D38" s="203">
        <v>316297.4169889701</v>
      </c>
      <c r="E38" s="25">
        <v>35492066</v>
      </c>
      <c r="F38" s="25">
        <f>E38*0.8200919</f>
        <v>29106755.8408654</v>
      </c>
      <c r="G38" s="25">
        <f>C38*0.8</f>
        <v>17313004</v>
      </c>
      <c r="H38" s="49">
        <f>IF(F38&gt;G38,0,(G38-F38))</f>
        <v>0</v>
      </c>
      <c r="I38" s="25">
        <f>MAX(F38,G38)</f>
        <v>29106755.8408654</v>
      </c>
      <c r="J38" s="23"/>
      <c r="K38" s="23"/>
      <c r="L38" s="25"/>
      <c r="M38" s="23"/>
    </row>
    <row r="39" spans="1:13" ht="12.75">
      <c r="A39" s="31" t="s">
        <v>24</v>
      </c>
      <c r="B39" s="28">
        <v>2480</v>
      </c>
      <c r="C39" s="28">
        <f t="shared" si="1"/>
        <v>8052560</v>
      </c>
      <c r="D39" s="204">
        <v>1371357.8133780332</v>
      </c>
      <c r="E39" s="28">
        <v>3045980</v>
      </c>
      <c r="F39" s="28">
        <f>E39*0.8200919</f>
        <v>2497983.525562</v>
      </c>
      <c r="G39" s="28">
        <f>C39*0.8</f>
        <v>6442048</v>
      </c>
      <c r="H39" s="139">
        <f>IF(F39&gt;G39,0,(G39-F39))</f>
        <v>3944064.474438</v>
      </c>
      <c r="I39" s="28">
        <f>MAX(F39,G39)</f>
        <v>6442048</v>
      </c>
      <c r="J39" s="23"/>
      <c r="K39" s="23"/>
      <c r="L39" s="25"/>
      <c r="M39" s="23"/>
    </row>
    <row r="40" spans="1:13" ht="12.75">
      <c r="A40" s="33"/>
      <c r="B40" s="33"/>
      <c r="C40" s="33"/>
      <c r="D40" s="209"/>
      <c r="E40" s="33"/>
      <c r="F40" s="33"/>
      <c r="G40" s="33"/>
      <c r="H40" s="33"/>
      <c r="I40" s="33"/>
      <c r="J40" s="23"/>
      <c r="K40" s="23"/>
      <c r="L40" s="25"/>
      <c r="M40" s="23"/>
    </row>
    <row r="41" spans="1:13" ht="12.75">
      <c r="A41" s="23" t="s">
        <v>95</v>
      </c>
      <c r="B41" s="25"/>
      <c r="C41" s="25"/>
      <c r="D41" s="203"/>
      <c r="E41" s="25"/>
      <c r="F41" s="25"/>
      <c r="G41" s="25"/>
      <c r="H41" s="25"/>
      <c r="I41" s="25"/>
      <c r="J41" s="23"/>
      <c r="K41" s="23"/>
      <c r="L41" s="25"/>
      <c r="M41" s="23"/>
    </row>
    <row r="42" spans="1:13" ht="12.75">
      <c r="A42" s="23"/>
      <c r="B42" s="25"/>
      <c r="C42" s="25"/>
      <c r="D42" s="203"/>
      <c r="E42" s="25"/>
      <c r="F42" s="25"/>
      <c r="G42" s="25"/>
      <c r="H42" s="25"/>
      <c r="I42" s="25"/>
      <c r="J42" s="23"/>
      <c r="K42" s="23"/>
      <c r="L42" s="25"/>
      <c r="M42" s="23"/>
    </row>
    <row r="43" spans="1:13" ht="12.75">
      <c r="A43" s="250" t="s">
        <v>266</v>
      </c>
      <c r="B43" s="25"/>
      <c r="C43" s="25"/>
      <c r="D43" s="203"/>
      <c r="E43" s="25"/>
      <c r="F43" s="25"/>
      <c r="G43" s="25"/>
      <c r="H43" s="25"/>
      <c r="I43" s="25"/>
      <c r="J43" s="23"/>
      <c r="K43" s="23"/>
      <c r="L43" s="25"/>
      <c r="M43" s="23"/>
    </row>
    <row r="44" spans="1:13" ht="12.75">
      <c r="A44" s="23"/>
      <c r="B44" s="25"/>
      <c r="C44" s="25"/>
      <c r="D44" s="203"/>
      <c r="E44" s="25"/>
      <c r="F44" s="25"/>
      <c r="G44" s="25"/>
      <c r="H44" s="25"/>
      <c r="I44" s="25"/>
      <c r="J44" s="23"/>
      <c r="K44" s="23"/>
      <c r="L44" s="25"/>
      <c r="M44" s="23"/>
    </row>
    <row r="45" spans="1:13" ht="12.75">
      <c r="A45" s="23"/>
      <c r="B45" s="25"/>
      <c r="C45" s="25"/>
      <c r="D45" s="203"/>
      <c r="E45" s="25"/>
      <c r="F45" s="25"/>
      <c r="G45" s="25"/>
      <c r="H45" s="25"/>
      <c r="I45" s="25"/>
      <c r="J45" s="23"/>
      <c r="K45" s="23"/>
      <c r="L45" s="23"/>
      <c r="M45" s="23"/>
    </row>
    <row r="46" spans="1:13" ht="12.75">
      <c r="A46" s="23"/>
      <c r="B46" s="25"/>
      <c r="C46" s="25"/>
      <c r="D46" s="203"/>
      <c r="E46" s="25"/>
      <c r="F46" s="25"/>
      <c r="G46" s="25"/>
      <c r="H46" s="25"/>
      <c r="I46" s="25"/>
      <c r="J46" s="23"/>
      <c r="K46" s="23"/>
      <c r="L46" s="23"/>
      <c r="M46" s="23"/>
    </row>
    <row r="47" spans="1:13" ht="12.75">
      <c r="A47" s="23"/>
      <c r="B47" s="25"/>
      <c r="C47" s="25"/>
      <c r="D47" s="203"/>
      <c r="E47" s="25"/>
      <c r="F47" s="25"/>
      <c r="G47" s="25"/>
      <c r="H47" s="25"/>
      <c r="I47" s="25"/>
      <c r="J47" s="23"/>
      <c r="K47" s="23"/>
      <c r="L47" s="23"/>
      <c r="M47" s="23"/>
    </row>
    <row r="48" spans="1:13" ht="12.75">
      <c r="A48" s="23"/>
      <c r="B48" s="25"/>
      <c r="C48" s="25"/>
      <c r="D48" s="203"/>
      <c r="E48" s="25"/>
      <c r="F48" s="25"/>
      <c r="G48" s="25"/>
      <c r="H48" s="25"/>
      <c r="I48" s="25"/>
      <c r="J48" s="23"/>
      <c r="K48" s="23"/>
      <c r="L48" s="23"/>
      <c r="M48" s="23"/>
    </row>
    <row r="49" spans="1:13" ht="12.75">
      <c r="A49" s="23"/>
      <c r="B49" s="25"/>
      <c r="C49" s="25"/>
      <c r="D49" s="203"/>
      <c r="E49" s="25"/>
      <c r="F49" s="25"/>
      <c r="G49" s="25"/>
      <c r="H49" s="25"/>
      <c r="I49" s="25"/>
      <c r="J49" s="23"/>
      <c r="K49" s="23"/>
      <c r="L49" s="23"/>
      <c r="M49" s="23"/>
    </row>
    <row r="50" spans="1:13" ht="12.75">
      <c r="A50" s="23"/>
      <c r="B50" s="25"/>
      <c r="C50" s="25"/>
      <c r="D50" s="203"/>
      <c r="E50" s="25"/>
      <c r="F50" s="25"/>
      <c r="G50" s="25"/>
      <c r="H50" s="25"/>
      <c r="I50" s="25"/>
      <c r="J50" s="23"/>
      <c r="K50" s="23"/>
      <c r="L50" s="23"/>
      <c r="M50" s="23"/>
    </row>
    <row r="51" spans="1:13" ht="12.75">
      <c r="A51" s="23"/>
      <c r="B51" s="25"/>
      <c r="C51" s="25"/>
      <c r="D51" s="203"/>
      <c r="E51" s="25"/>
      <c r="F51" s="25"/>
      <c r="G51" s="25"/>
      <c r="H51" s="25"/>
      <c r="I51" s="25"/>
      <c r="J51" s="23"/>
      <c r="K51" s="23"/>
      <c r="L51" s="23"/>
      <c r="M51" s="23"/>
    </row>
    <row r="52" spans="1:13" ht="12.75">
      <c r="A52" s="23"/>
      <c r="B52" s="25"/>
      <c r="C52" s="25"/>
      <c r="D52" s="203"/>
      <c r="E52" s="25"/>
      <c r="F52" s="25"/>
      <c r="G52" s="25"/>
      <c r="H52" s="25"/>
      <c r="I52" s="25"/>
      <c r="J52" s="23"/>
      <c r="K52" s="23"/>
      <c r="L52" s="23"/>
      <c r="M52" s="23"/>
    </row>
    <row r="53" spans="1:13" ht="12.75">
      <c r="A53" s="23"/>
      <c r="B53" s="25"/>
      <c r="C53" s="25"/>
      <c r="D53" s="203"/>
      <c r="E53" s="25"/>
      <c r="F53" s="25"/>
      <c r="G53" s="25"/>
      <c r="H53" s="25"/>
      <c r="I53" s="25"/>
      <c r="J53" s="23"/>
      <c r="K53" s="23"/>
      <c r="L53" s="23"/>
      <c r="M53" s="23"/>
    </row>
    <row r="54" spans="1:13" ht="12.75">
      <c r="A54" s="23"/>
      <c r="B54" s="25"/>
      <c r="C54" s="25"/>
      <c r="D54" s="203"/>
      <c r="E54" s="25"/>
      <c r="F54" s="25"/>
      <c r="G54" s="25"/>
      <c r="H54" s="25"/>
      <c r="I54" s="25"/>
      <c r="J54" s="23"/>
      <c r="K54" s="23"/>
      <c r="L54" s="23"/>
      <c r="M54" s="23"/>
    </row>
    <row r="55" spans="1:13" ht="12.75">
      <c r="A55" s="23"/>
      <c r="B55" s="25"/>
      <c r="C55" s="25"/>
      <c r="D55" s="203"/>
      <c r="E55" s="25"/>
      <c r="F55" s="25"/>
      <c r="G55" s="25"/>
      <c r="H55" s="25"/>
      <c r="I55" s="25"/>
      <c r="J55" s="23"/>
      <c r="K55" s="23"/>
      <c r="L55" s="23"/>
      <c r="M55" s="23"/>
    </row>
    <row r="56" spans="1:13" ht="12.75">
      <c r="A56" s="23"/>
      <c r="B56" s="25"/>
      <c r="C56" s="25"/>
      <c r="D56" s="203"/>
      <c r="E56" s="25"/>
      <c r="F56" s="25"/>
      <c r="G56" s="25"/>
      <c r="H56" s="25"/>
      <c r="I56" s="25"/>
      <c r="J56" s="23"/>
      <c r="K56" s="23"/>
      <c r="L56" s="23"/>
      <c r="M56" s="23"/>
    </row>
    <row r="57" spans="1:13" ht="12.75">
      <c r="A57" s="23"/>
      <c r="B57" s="25"/>
      <c r="C57" s="25"/>
      <c r="D57" s="203"/>
      <c r="E57" s="25"/>
      <c r="F57" s="25"/>
      <c r="G57" s="25"/>
      <c r="H57" s="25"/>
      <c r="I57" s="25"/>
      <c r="J57" s="23"/>
      <c r="K57" s="23"/>
      <c r="L57" s="23"/>
      <c r="M57" s="23"/>
    </row>
    <row r="58" spans="1:13" ht="12.75">
      <c r="A58" s="23"/>
      <c r="B58" s="25"/>
      <c r="C58" s="25"/>
      <c r="D58" s="203"/>
      <c r="E58" s="25"/>
      <c r="F58" s="25"/>
      <c r="G58" s="25"/>
      <c r="H58" s="25"/>
      <c r="I58" s="25"/>
      <c r="J58" s="23"/>
      <c r="K58" s="23"/>
      <c r="L58" s="23"/>
      <c r="M58" s="23"/>
    </row>
    <row r="59" spans="1:13" ht="12.75">
      <c r="A59" s="23"/>
      <c r="B59" s="25"/>
      <c r="C59" s="25"/>
      <c r="D59" s="203"/>
      <c r="E59" s="25"/>
      <c r="F59" s="25"/>
      <c r="G59" s="25"/>
      <c r="H59" s="25"/>
      <c r="I59" s="25"/>
      <c r="J59" s="23"/>
      <c r="K59" s="23"/>
      <c r="L59" s="23"/>
      <c r="M59" s="23"/>
    </row>
    <row r="60" spans="1:13" ht="12.75">
      <c r="A60" s="23"/>
      <c r="B60" s="25"/>
      <c r="C60" s="25"/>
      <c r="D60" s="203"/>
      <c r="E60" s="25"/>
      <c r="F60" s="25"/>
      <c r="G60" s="25"/>
      <c r="H60" s="25"/>
      <c r="I60" s="25"/>
      <c r="J60" s="23"/>
      <c r="K60" s="23"/>
      <c r="L60" s="23"/>
      <c r="M60" s="23"/>
    </row>
    <row r="61" spans="1:13" ht="12.75">
      <c r="A61" s="23"/>
      <c r="B61" s="25"/>
      <c r="C61" s="25"/>
      <c r="D61" s="203"/>
      <c r="E61" s="25"/>
      <c r="F61" s="25"/>
      <c r="G61" s="25"/>
      <c r="H61" s="25"/>
      <c r="I61" s="25"/>
      <c r="J61" s="23"/>
      <c r="K61" s="23"/>
      <c r="L61" s="23"/>
      <c r="M61" s="23"/>
    </row>
    <row r="62" spans="1:13" ht="12.75">
      <c r="A62" s="23"/>
      <c r="B62" s="25"/>
      <c r="C62" s="25"/>
      <c r="D62" s="203"/>
      <c r="E62" s="25"/>
      <c r="F62" s="25"/>
      <c r="G62" s="25"/>
      <c r="H62" s="25"/>
      <c r="I62" s="25"/>
      <c r="J62" s="23"/>
      <c r="K62" s="23"/>
      <c r="L62" s="23"/>
      <c r="M62" s="23"/>
    </row>
    <row r="63" spans="1:13" ht="12.75">
      <c r="A63" s="23"/>
      <c r="B63" s="25"/>
      <c r="C63" s="25"/>
      <c r="D63" s="203"/>
      <c r="E63" s="25"/>
      <c r="F63" s="25"/>
      <c r="G63" s="25"/>
      <c r="H63" s="25"/>
      <c r="I63" s="25"/>
      <c r="J63" s="23"/>
      <c r="K63" s="23"/>
      <c r="L63" s="23"/>
      <c r="M63" s="23"/>
    </row>
    <row r="64" spans="1:13" ht="12.75">
      <c r="A64" s="23"/>
      <c r="B64" s="25"/>
      <c r="C64" s="25"/>
      <c r="D64" s="203"/>
      <c r="E64" s="25"/>
      <c r="F64" s="25"/>
      <c r="G64" s="25"/>
      <c r="H64" s="25"/>
      <c r="I64" s="25"/>
      <c r="J64" s="23"/>
      <c r="K64" s="23"/>
      <c r="L64" s="23"/>
      <c r="M64" s="23"/>
    </row>
    <row r="65" spans="1:13" ht="12.75">
      <c r="A65" s="23"/>
      <c r="B65" s="25"/>
      <c r="C65" s="25"/>
      <c r="D65" s="203"/>
      <c r="E65" s="25"/>
      <c r="F65" s="25"/>
      <c r="G65" s="25"/>
      <c r="H65" s="25"/>
      <c r="I65" s="25"/>
      <c r="J65" s="23"/>
      <c r="K65" s="23"/>
      <c r="L65" s="23"/>
      <c r="M65" s="23"/>
    </row>
    <row r="66" spans="1:13" ht="12.75">
      <c r="A66" s="23"/>
      <c r="B66" s="25"/>
      <c r="C66" s="25"/>
      <c r="D66" s="203"/>
      <c r="E66" s="25"/>
      <c r="F66" s="25"/>
      <c r="G66" s="25"/>
      <c r="H66" s="25"/>
      <c r="I66" s="25"/>
      <c r="J66" s="23"/>
      <c r="K66" s="23"/>
      <c r="L66" s="23"/>
      <c r="M66" s="23"/>
    </row>
    <row r="67" spans="1:13" ht="12.75">
      <c r="A67" s="23"/>
      <c r="B67" s="25"/>
      <c r="C67" s="25"/>
      <c r="D67" s="203"/>
      <c r="E67" s="25"/>
      <c r="F67" s="25"/>
      <c r="G67" s="25"/>
      <c r="H67" s="25"/>
      <c r="I67" s="25"/>
      <c r="J67" s="23"/>
      <c r="K67" s="23"/>
      <c r="L67" s="23"/>
      <c r="M67" s="23"/>
    </row>
    <row r="68" spans="1:13" ht="12.75">
      <c r="A68" s="23"/>
      <c r="B68" s="25"/>
      <c r="C68" s="25"/>
      <c r="D68" s="203"/>
      <c r="E68" s="25"/>
      <c r="F68" s="25"/>
      <c r="G68" s="25"/>
      <c r="H68" s="25"/>
      <c r="I68" s="25"/>
      <c r="J68" s="23"/>
      <c r="K68" s="23"/>
      <c r="L68" s="23"/>
      <c r="M68" s="23"/>
    </row>
    <row r="69" spans="1:13" ht="12.75">
      <c r="A69" s="23"/>
      <c r="B69" s="25"/>
      <c r="C69" s="25"/>
      <c r="D69" s="203"/>
      <c r="E69" s="25"/>
      <c r="F69" s="25"/>
      <c r="G69" s="25"/>
      <c r="H69" s="25"/>
      <c r="I69" s="25"/>
      <c r="J69" s="23"/>
      <c r="K69" s="23"/>
      <c r="L69" s="23"/>
      <c r="M69" s="23"/>
    </row>
    <row r="70" spans="1:13" ht="12.75">
      <c r="A70" s="23"/>
      <c r="B70" s="25"/>
      <c r="C70" s="25"/>
      <c r="D70" s="203"/>
      <c r="E70" s="25"/>
      <c r="F70" s="25"/>
      <c r="G70" s="25"/>
      <c r="H70" s="25"/>
      <c r="I70" s="25"/>
      <c r="J70" s="23"/>
      <c r="K70" s="23"/>
      <c r="L70" s="23"/>
      <c r="M70" s="23"/>
    </row>
    <row r="71" spans="1:13" ht="12.75">
      <c r="A71" s="23"/>
      <c r="B71" s="25"/>
      <c r="C71" s="25"/>
      <c r="D71" s="203"/>
      <c r="E71" s="25"/>
      <c r="F71" s="25"/>
      <c r="G71" s="25"/>
      <c r="H71" s="25"/>
      <c r="I71" s="25"/>
      <c r="J71" s="23"/>
      <c r="K71" s="23"/>
      <c r="L71" s="23"/>
      <c r="M71" s="23"/>
    </row>
    <row r="72" spans="2:9" ht="12.75">
      <c r="B72" s="27"/>
      <c r="C72" s="27"/>
      <c r="D72" s="208"/>
      <c r="E72" s="27"/>
      <c r="F72" s="27"/>
      <c r="G72" s="27"/>
      <c r="H72" s="27"/>
      <c r="I72" s="27"/>
    </row>
    <row r="73" spans="2:9" ht="12.75">
      <c r="B73" s="27"/>
      <c r="C73" s="27"/>
      <c r="D73" s="208"/>
      <c r="E73" s="27"/>
      <c r="F73" s="27"/>
      <c r="G73" s="27"/>
      <c r="H73" s="27"/>
      <c r="I73" s="27"/>
    </row>
    <row r="74" spans="2:9" ht="12.75">
      <c r="B74" s="27"/>
      <c r="C74" s="27"/>
      <c r="D74" s="208"/>
      <c r="E74" s="27"/>
      <c r="F74" s="27"/>
      <c r="G74" s="27"/>
      <c r="H74" s="27"/>
      <c r="I74" s="27"/>
    </row>
    <row r="75" spans="2:9" ht="12.75">
      <c r="B75" s="27"/>
      <c r="C75" s="27"/>
      <c r="D75" s="208"/>
      <c r="E75" s="27"/>
      <c r="F75" s="27"/>
      <c r="G75" s="27"/>
      <c r="H75" s="27"/>
      <c r="I75" s="27"/>
    </row>
    <row r="76" spans="2:9" ht="12.75">
      <c r="B76" s="27"/>
      <c r="C76" s="27"/>
      <c r="D76" s="208"/>
      <c r="E76" s="27"/>
      <c r="F76" s="27"/>
      <c r="G76" s="27"/>
      <c r="H76" s="27"/>
      <c r="I76" s="27"/>
    </row>
    <row r="77" spans="2:9" ht="12.75">
      <c r="B77" s="27"/>
      <c r="C77" s="27"/>
      <c r="D77" s="208"/>
      <c r="E77" s="27"/>
      <c r="F77" s="27"/>
      <c r="G77" s="27"/>
      <c r="H77" s="27"/>
      <c r="I77" s="27"/>
    </row>
    <row r="78" spans="2:9" ht="12.75">
      <c r="B78" s="27"/>
      <c r="C78" s="27"/>
      <c r="D78" s="208"/>
      <c r="E78" s="27"/>
      <c r="F78" s="27"/>
      <c r="G78" s="27"/>
      <c r="H78" s="27"/>
      <c r="I78" s="27"/>
    </row>
    <row r="79" spans="2:9" ht="12.75">
      <c r="B79" s="27"/>
      <c r="C79" s="27"/>
      <c r="D79" s="208"/>
      <c r="E79" s="27"/>
      <c r="F79" s="27"/>
      <c r="G79" s="27"/>
      <c r="H79" s="27"/>
      <c r="I79" s="27"/>
    </row>
    <row r="80" spans="2:9" ht="12.75">
      <c r="B80" s="27"/>
      <c r="C80" s="27"/>
      <c r="D80" s="208"/>
      <c r="E80" s="27"/>
      <c r="F80" s="27"/>
      <c r="G80" s="27"/>
      <c r="H80" s="27"/>
      <c r="I80" s="27"/>
    </row>
    <row r="81" spans="2:9" ht="12.75">
      <c r="B81" s="27"/>
      <c r="C81" s="27"/>
      <c r="D81" s="208"/>
      <c r="E81" s="27"/>
      <c r="F81" s="27"/>
      <c r="G81" s="27"/>
      <c r="H81" s="27"/>
      <c r="I81" s="27"/>
    </row>
    <row r="82" spans="2:9" ht="12.75">
      <c r="B82" s="27"/>
      <c r="C82" s="27"/>
      <c r="D82" s="208"/>
      <c r="E82" s="27"/>
      <c r="F82" s="27"/>
      <c r="G82" s="27"/>
      <c r="H82" s="27"/>
      <c r="I82" s="27"/>
    </row>
    <row r="83" spans="2:9" ht="12.75">
      <c r="B83" s="27"/>
      <c r="C83" s="27"/>
      <c r="D83" s="208"/>
      <c r="E83" s="27"/>
      <c r="F83" s="27"/>
      <c r="G83" s="27"/>
      <c r="H83" s="27"/>
      <c r="I83" s="27"/>
    </row>
    <row r="84" spans="2:9" ht="12.75">
      <c r="B84" s="27"/>
      <c r="C84" s="27"/>
      <c r="D84" s="208"/>
      <c r="E84" s="27"/>
      <c r="F84" s="27"/>
      <c r="G84" s="27"/>
      <c r="H84" s="27"/>
      <c r="I84" s="27"/>
    </row>
    <row r="85" spans="2:9" ht="12.75">
      <c r="B85" s="27"/>
      <c r="C85" s="27"/>
      <c r="D85" s="208"/>
      <c r="E85" s="27"/>
      <c r="F85" s="27"/>
      <c r="G85" s="27"/>
      <c r="H85" s="27"/>
      <c r="I85" s="27"/>
    </row>
    <row r="86" spans="2:9" ht="12.75">
      <c r="B86" s="27"/>
      <c r="C86" s="27"/>
      <c r="D86" s="208"/>
      <c r="E86" s="27"/>
      <c r="F86" s="27"/>
      <c r="G86" s="27"/>
      <c r="H86" s="27"/>
      <c r="I86" s="27"/>
    </row>
    <row r="87" spans="2:9" ht="12.75">
      <c r="B87" s="27"/>
      <c r="C87" s="27"/>
      <c r="D87" s="208"/>
      <c r="E87" s="27"/>
      <c r="F87" s="27"/>
      <c r="G87" s="27"/>
      <c r="H87" s="27"/>
      <c r="I87" s="27"/>
    </row>
    <row r="88" spans="2:9" ht="12.75">
      <c r="B88" s="27"/>
      <c r="C88" s="27"/>
      <c r="D88" s="208"/>
      <c r="E88" s="27"/>
      <c r="F88" s="27"/>
      <c r="G88" s="27"/>
      <c r="H88" s="27"/>
      <c r="I88" s="27"/>
    </row>
    <row r="89" spans="2:9" ht="12.75">
      <c r="B89" s="27"/>
      <c r="C89" s="27"/>
      <c r="D89" s="208"/>
      <c r="E89" s="27"/>
      <c r="F89" s="27"/>
      <c r="G89" s="27"/>
      <c r="H89" s="27"/>
      <c r="I89" s="27"/>
    </row>
    <row r="90" spans="2:9" ht="12.75">
      <c r="B90" s="27"/>
      <c r="C90" s="27"/>
      <c r="D90" s="208"/>
      <c r="E90" s="27"/>
      <c r="F90" s="27"/>
      <c r="G90" s="27"/>
      <c r="H90" s="27"/>
      <c r="I90" s="27"/>
    </row>
    <row r="91" spans="2:9" ht="12.75">
      <c r="B91" s="27"/>
      <c r="C91" s="27"/>
      <c r="D91" s="208"/>
      <c r="E91" s="27"/>
      <c r="F91" s="27"/>
      <c r="G91" s="27"/>
      <c r="H91" s="27"/>
      <c r="I91" s="27"/>
    </row>
    <row r="92" spans="2:9" ht="12.75">
      <c r="B92" s="27"/>
      <c r="C92" s="27"/>
      <c r="D92" s="208"/>
      <c r="E92" s="27"/>
      <c r="F92" s="27"/>
      <c r="G92" s="27"/>
      <c r="H92" s="27"/>
      <c r="I92" s="27"/>
    </row>
    <row r="93" spans="2:9" ht="12.75">
      <c r="B93" s="27"/>
      <c r="C93" s="27"/>
      <c r="D93" s="208"/>
      <c r="E93" s="27"/>
      <c r="F93" s="27"/>
      <c r="G93" s="27"/>
      <c r="H93" s="27"/>
      <c r="I93" s="27"/>
    </row>
    <row r="94" spans="2:9" ht="12.75">
      <c r="B94" s="27"/>
      <c r="C94" s="27"/>
      <c r="D94" s="208"/>
      <c r="E94" s="27"/>
      <c r="F94" s="27"/>
      <c r="G94" s="27"/>
      <c r="H94" s="27"/>
      <c r="I94" s="27"/>
    </row>
    <row r="95" spans="2:9" ht="12.75">
      <c r="B95" s="27"/>
      <c r="C95" s="27"/>
      <c r="D95" s="208"/>
      <c r="E95" s="27"/>
      <c r="F95" s="27"/>
      <c r="G95" s="27"/>
      <c r="H95" s="27"/>
      <c r="I95" s="27"/>
    </row>
    <row r="96" spans="2:9" ht="12.75">
      <c r="B96" s="27"/>
      <c r="C96" s="27"/>
      <c r="D96" s="208"/>
      <c r="E96" s="27"/>
      <c r="F96" s="27"/>
      <c r="G96" s="27"/>
      <c r="H96" s="27"/>
      <c r="I96" s="27"/>
    </row>
    <row r="97" spans="2:9" ht="12.75">
      <c r="B97" s="27"/>
      <c r="C97" s="27"/>
      <c r="D97" s="208"/>
      <c r="E97" s="27"/>
      <c r="F97" s="27"/>
      <c r="G97" s="27"/>
      <c r="H97" s="27"/>
      <c r="I97" s="27"/>
    </row>
    <row r="98" spans="2:9" ht="12.75">
      <c r="B98" s="27"/>
      <c r="C98" s="27"/>
      <c r="D98" s="208"/>
      <c r="E98" s="27"/>
      <c r="F98" s="27"/>
      <c r="G98" s="27"/>
      <c r="H98" s="27"/>
      <c r="I98" s="27"/>
    </row>
    <row r="99" spans="2:9" ht="12.75">
      <c r="B99" s="27"/>
      <c r="C99" s="27"/>
      <c r="D99" s="208"/>
      <c r="E99" s="27"/>
      <c r="F99" s="27"/>
      <c r="G99" s="27"/>
      <c r="H99" s="27"/>
      <c r="I99" s="27"/>
    </row>
    <row r="100" spans="2:9" ht="12.75">
      <c r="B100" s="27"/>
      <c r="C100" s="27"/>
      <c r="D100" s="208"/>
      <c r="E100" s="27"/>
      <c r="F100" s="27"/>
      <c r="G100" s="27"/>
      <c r="H100" s="27"/>
      <c r="I100" s="27"/>
    </row>
    <row r="101" spans="2:9" ht="12.75">
      <c r="B101" s="27"/>
      <c r="C101" s="27"/>
      <c r="D101" s="208"/>
      <c r="E101" s="27"/>
      <c r="F101" s="27"/>
      <c r="G101" s="27"/>
      <c r="H101" s="27"/>
      <c r="I101" s="27"/>
    </row>
    <row r="102" spans="2:9" ht="12.75">
      <c r="B102" s="27"/>
      <c r="C102" s="27"/>
      <c r="D102" s="208"/>
      <c r="E102" s="27"/>
      <c r="F102" s="27"/>
      <c r="G102" s="27"/>
      <c r="H102" s="27"/>
      <c r="I102" s="27"/>
    </row>
    <row r="103" spans="2:9" ht="12.75">
      <c r="B103" s="27"/>
      <c r="C103" s="27"/>
      <c r="D103" s="208"/>
      <c r="E103" s="27"/>
      <c r="F103" s="27"/>
      <c r="G103" s="27"/>
      <c r="H103" s="27"/>
      <c r="I103" s="27"/>
    </row>
    <row r="104" spans="2:9" ht="12.75">
      <c r="B104" s="27"/>
      <c r="C104" s="27"/>
      <c r="D104" s="208"/>
      <c r="E104" s="27"/>
      <c r="F104" s="27"/>
      <c r="G104" s="27"/>
      <c r="H104" s="27"/>
      <c r="I104" s="27"/>
    </row>
    <row r="105" spans="2:9" ht="12.75">
      <c r="B105" s="27"/>
      <c r="C105" s="27"/>
      <c r="D105" s="208"/>
      <c r="E105" s="27"/>
      <c r="F105" s="27"/>
      <c r="G105" s="27"/>
      <c r="H105" s="27"/>
      <c r="I105" s="27"/>
    </row>
    <row r="106" spans="2:9" ht="12.75">
      <c r="B106" s="27"/>
      <c r="C106" s="27"/>
      <c r="D106" s="208"/>
      <c r="E106" s="27"/>
      <c r="F106" s="27"/>
      <c r="G106" s="27"/>
      <c r="H106" s="27"/>
      <c r="I106" s="27"/>
    </row>
  </sheetData>
  <sheetProtection password="CAF5" sheet="1" objects="1" scenarios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rintOptions horizontalCentered="1"/>
  <pageMargins left="0.7" right="0.75" top="0.83" bottom="0.84" header="0.67" footer="0.5"/>
  <pageSetup fitToHeight="1" fitToWidth="1" horizontalDpi="600" verticalDpi="600" orientation="landscape" scale="84" r:id="rId1"/>
  <headerFooter alignWithMargins="0">
    <oddFooter>&amp;L&amp;"Arial,Italic"&amp;9MSDE - LFRO 11 / 2012
&amp;C- 18 -&amp;R&amp;"Arial,Italic"&amp;9Selected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99" zoomScaleNormal="99" zoomScalePageLayoutView="0" workbookViewId="0" topLeftCell="A1">
      <selection activeCell="F10" sqref="F10"/>
    </sheetView>
  </sheetViews>
  <sheetFormatPr defaultColWidth="9.140625" defaultRowHeight="12.75"/>
  <cols>
    <col min="1" max="1" width="22.00390625" style="0" customWidth="1"/>
    <col min="2" max="2" width="20.8515625" style="0" customWidth="1"/>
    <col min="3" max="3" width="18.140625" style="0" customWidth="1"/>
    <col min="4" max="4" width="21.00390625" style="0" customWidth="1"/>
    <col min="5" max="5" width="21.57421875" style="89" customWidth="1"/>
    <col min="6" max="6" width="22.421875" style="0" customWidth="1"/>
  </cols>
  <sheetData>
    <row r="1" spans="1:6" ht="12.75">
      <c r="A1" s="432" t="s">
        <v>107</v>
      </c>
      <c r="B1" s="432"/>
      <c r="C1" s="432"/>
      <c r="D1" s="432"/>
      <c r="E1" s="432"/>
      <c r="F1" s="432"/>
    </row>
    <row r="2" spans="1:5" ht="13.5" customHeight="1">
      <c r="A2" s="39"/>
      <c r="E2" s="32"/>
    </row>
    <row r="3" spans="1:6" ht="12.75">
      <c r="A3" s="464" t="s">
        <v>269</v>
      </c>
      <c r="B3" s="432"/>
      <c r="C3" s="432"/>
      <c r="D3" s="432"/>
      <c r="E3" s="432"/>
      <c r="F3" s="432"/>
    </row>
    <row r="4" spans="1:6" ht="13.5" thickBot="1">
      <c r="A4" s="3"/>
      <c r="B4" s="3"/>
      <c r="C4" s="3"/>
      <c r="D4" s="3"/>
      <c r="E4" s="23"/>
      <c r="F4" s="3"/>
    </row>
    <row r="5" spans="1:7" ht="15" customHeight="1" thickTop="1">
      <c r="A5" s="6"/>
      <c r="B5" s="64" t="s">
        <v>211</v>
      </c>
      <c r="C5" s="6"/>
      <c r="D5" s="6"/>
      <c r="E5" s="532" t="s">
        <v>270</v>
      </c>
      <c r="F5" s="156"/>
      <c r="G5" s="19"/>
    </row>
    <row r="6" spans="1:7" ht="12.75">
      <c r="A6" s="3" t="s">
        <v>77</v>
      </c>
      <c r="B6" s="4" t="s">
        <v>114</v>
      </c>
      <c r="C6" s="4" t="s">
        <v>102</v>
      </c>
      <c r="D6" s="4" t="s">
        <v>99</v>
      </c>
      <c r="E6" s="543"/>
      <c r="F6" s="4" t="s">
        <v>99</v>
      </c>
      <c r="G6" s="19"/>
    </row>
    <row r="7" spans="1:7" ht="12.75">
      <c r="A7" s="3" t="s">
        <v>33</v>
      </c>
      <c r="B7" s="4" t="s">
        <v>115</v>
      </c>
      <c r="C7" s="4" t="s">
        <v>103</v>
      </c>
      <c r="D7" s="4" t="s">
        <v>100</v>
      </c>
      <c r="E7" s="543"/>
      <c r="F7" s="4" t="s">
        <v>100</v>
      </c>
      <c r="G7" s="19"/>
    </row>
    <row r="8" spans="1:7" ht="13.5" thickBot="1">
      <c r="A8" s="7" t="s">
        <v>132</v>
      </c>
      <c r="B8" s="8" t="s">
        <v>101</v>
      </c>
      <c r="C8" s="8" t="s">
        <v>210</v>
      </c>
      <c r="D8" s="8" t="s">
        <v>104</v>
      </c>
      <c r="E8" s="544"/>
      <c r="F8" s="8" t="s">
        <v>105</v>
      </c>
      <c r="G8" s="19"/>
    </row>
    <row r="9" spans="1:6" ht="12.75">
      <c r="A9" s="3" t="s">
        <v>0</v>
      </c>
      <c r="B9" s="420">
        <f>SUM(B11:B38)</f>
        <v>756096113</v>
      </c>
      <c r="C9" s="303">
        <f>SUM(C11:C38)</f>
        <v>817610.25</v>
      </c>
      <c r="D9" s="421">
        <f>+B9*1000/C9</f>
        <v>924763.4958098923</v>
      </c>
      <c r="E9" s="56">
        <f>SUM(E11:E48)</f>
        <v>5785982</v>
      </c>
      <c r="F9" s="422">
        <f>+B9*1000/E9</f>
        <v>130677.23214486323</v>
      </c>
    </row>
    <row r="10" spans="1:6" ht="12.75">
      <c r="A10" s="3"/>
      <c r="B10" s="2"/>
      <c r="C10" s="5"/>
      <c r="D10" s="3"/>
      <c r="E10" s="57"/>
      <c r="F10" s="2"/>
    </row>
    <row r="11" spans="1:6" ht="12.75">
      <c r="A11" s="3" t="s">
        <v>1</v>
      </c>
      <c r="B11" s="135">
        <v>4010110</v>
      </c>
      <c r="C11" s="362">
        <v>8692</v>
      </c>
      <c r="D11" s="2">
        <f>+B11*1000/C11</f>
        <v>461356.4196962724</v>
      </c>
      <c r="E11" s="400">
        <v>75021</v>
      </c>
      <c r="F11" s="15">
        <f>+B11*1000/E11</f>
        <v>53453.166446728246</v>
      </c>
    </row>
    <row r="12" spans="1:6" ht="12.75">
      <c r="A12" s="3" t="s">
        <v>2</v>
      </c>
      <c r="B12" s="135">
        <v>84987819</v>
      </c>
      <c r="C12" s="362">
        <v>72914.5</v>
      </c>
      <c r="D12" s="2">
        <f>+B12*1000/C12</f>
        <v>1165581.8664326025</v>
      </c>
      <c r="E12" s="400">
        <v>539198</v>
      </c>
      <c r="F12" s="15">
        <f>+B12*1000/E12</f>
        <v>157618.9433195227</v>
      </c>
    </row>
    <row r="13" spans="1:6" ht="12.75">
      <c r="A13" s="3" t="s">
        <v>3</v>
      </c>
      <c r="B13" s="135">
        <v>39149240</v>
      </c>
      <c r="C13" s="362">
        <v>77909</v>
      </c>
      <c r="D13" s="2">
        <f>+B13*1000/C13</f>
        <v>502499.5828466544</v>
      </c>
      <c r="E13" s="30">
        <v>620583</v>
      </c>
      <c r="F13" s="15">
        <f>+B13*1000/E13</f>
        <v>63084.61559533535</v>
      </c>
    </row>
    <row r="14" spans="1:6" ht="12.75">
      <c r="A14" s="3" t="s">
        <v>4</v>
      </c>
      <c r="B14" s="135">
        <v>89397035</v>
      </c>
      <c r="C14" s="362">
        <v>99511.75</v>
      </c>
      <c r="D14" s="2">
        <f>+B14*1000/C14</f>
        <v>898356.5759822333</v>
      </c>
      <c r="E14" s="400">
        <v>805709</v>
      </c>
      <c r="F14" s="15">
        <f>+B14*1000/E14</f>
        <v>110954.49473693356</v>
      </c>
    </row>
    <row r="15" spans="1:6" ht="12.75">
      <c r="A15" s="3" t="s">
        <v>5</v>
      </c>
      <c r="B15" s="135">
        <v>14209661</v>
      </c>
      <c r="C15" s="362">
        <v>16626.25</v>
      </c>
      <c r="D15" s="2">
        <f>+B15*1000/C15</f>
        <v>854652.191564544</v>
      </c>
      <c r="E15" s="400">
        <v>88936</v>
      </c>
      <c r="F15" s="15">
        <f>+B15*1000/E15</f>
        <v>159774.0060268058</v>
      </c>
    </row>
    <row r="16" spans="1:6" ht="12.75">
      <c r="A16" s="3"/>
      <c r="B16" s="135"/>
      <c r="C16" s="402"/>
      <c r="D16" s="2"/>
      <c r="E16" s="135"/>
      <c r="F16" s="15"/>
    </row>
    <row r="17" spans="1:6" ht="12.75">
      <c r="A17" s="3" t="s">
        <v>6</v>
      </c>
      <c r="B17" s="135">
        <v>3182687</v>
      </c>
      <c r="C17" s="362">
        <v>5224</v>
      </c>
      <c r="D17" s="2">
        <f>+B17*1000/C17</f>
        <v>609243.3001531394</v>
      </c>
      <c r="E17" s="400">
        <v>33093</v>
      </c>
      <c r="F17" s="15">
        <f>+B17*1000/E17</f>
        <v>96174.02471821835</v>
      </c>
    </row>
    <row r="18" spans="1:6" ht="12.75">
      <c r="A18" s="3" t="s">
        <v>7</v>
      </c>
      <c r="B18" s="135">
        <v>20915009</v>
      </c>
      <c r="C18" s="362">
        <v>27418</v>
      </c>
      <c r="D18" s="2">
        <f>+B18*1000/C18</f>
        <v>762820.3734772777</v>
      </c>
      <c r="E18" s="400">
        <v>167241</v>
      </c>
      <c r="F18" s="15">
        <f>+B18*1000/E18</f>
        <v>125059.10034022758</v>
      </c>
    </row>
    <row r="19" spans="1:6" ht="12.75">
      <c r="A19" s="3" t="s">
        <v>8</v>
      </c>
      <c r="B19" s="135">
        <v>11067074</v>
      </c>
      <c r="C19" s="362">
        <v>15620</v>
      </c>
      <c r="D19" s="2">
        <f>+B19*1000/C19</f>
        <v>708519.462227913</v>
      </c>
      <c r="E19" s="400">
        <v>101199</v>
      </c>
      <c r="F19" s="15">
        <f>+B19*1000/E19</f>
        <v>109359.51936283955</v>
      </c>
    </row>
    <row r="20" spans="1:6" ht="12.75">
      <c r="A20" s="3" t="s">
        <v>9</v>
      </c>
      <c r="B20" s="135">
        <v>18794704</v>
      </c>
      <c r="C20" s="362">
        <v>25896.75</v>
      </c>
      <c r="D20" s="2">
        <f>+B20*1000/C20</f>
        <v>725755.3167868555</v>
      </c>
      <c r="E20" s="400">
        <v>147086</v>
      </c>
      <c r="F20" s="15">
        <f>+B20*1000/E20</f>
        <v>127780.37338699808</v>
      </c>
    </row>
    <row r="21" spans="1:6" ht="12.75">
      <c r="A21" s="3" t="s">
        <v>10</v>
      </c>
      <c r="B21" s="135">
        <v>3544326</v>
      </c>
      <c r="C21" s="362">
        <v>4412</v>
      </c>
      <c r="D21" s="2">
        <f>+B21*1000/C21</f>
        <v>803337.7153218494</v>
      </c>
      <c r="E21" s="400">
        <v>32650</v>
      </c>
      <c r="F21" s="15">
        <f>+B21*1000/E21</f>
        <v>108555.16079632465</v>
      </c>
    </row>
    <row r="22" spans="1:6" ht="12.75">
      <c r="A22" s="3"/>
      <c r="B22" s="76"/>
      <c r="C22" s="362"/>
      <c r="D22" s="2"/>
      <c r="E22" s="23"/>
      <c r="F22" s="15"/>
    </row>
    <row r="23" spans="1:6" ht="12.75">
      <c r="A23" s="3" t="s">
        <v>11</v>
      </c>
      <c r="B23" s="135">
        <v>29761665</v>
      </c>
      <c r="C23" s="362">
        <v>39063.75</v>
      </c>
      <c r="D23" s="2">
        <f>+B23*1000/C23</f>
        <v>761874.2440241912</v>
      </c>
      <c r="E23" s="400">
        <v>234122</v>
      </c>
      <c r="F23" s="15">
        <f>+B23*1000/E23</f>
        <v>127120.32615473984</v>
      </c>
    </row>
    <row r="24" spans="1:6" ht="12.75">
      <c r="A24" s="3" t="s">
        <v>12</v>
      </c>
      <c r="B24" s="135">
        <v>4975949</v>
      </c>
      <c r="C24" s="362">
        <v>4182.75</v>
      </c>
      <c r="D24" s="2">
        <f>+B24*1000/C24</f>
        <v>1189635.7659434583</v>
      </c>
      <c r="E24" s="400">
        <v>30063</v>
      </c>
      <c r="F24" s="15">
        <f>+B24*1000/E24</f>
        <v>165517.38016831322</v>
      </c>
    </row>
    <row r="25" spans="1:6" ht="12.75">
      <c r="A25" s="3" t="s">
        <v>13</v>
      </c>
      <c r="B25" s="135">
        <v>28580599</v>
      </c>
      <c r="C25" s="362">
        <v>37697</v>
      </c>
      <c r="D25" s="2">
        <f>+B25*1000/C25</f>
        <v>758166.4058147863</v>
      </c>
      <c r="E25" s="400">
        <v>245177</v>
      </c>
      <c r="F25" s="15">
        <f>+B25*1000/E25</f>
        <v>116571.28931343478</v>
      </c>
    </row>
    <row r="26" spans="1:6" ht="12.75">
      <c r="A26" s="3" t="s">
        <v>14</v>
      </c>
      <c r="B26" s="135">
        <v>48043284</v>
      </c>
      <c r="C26" s="362">
        <v>49635</v>
      </c>
      <c r="D26" s="2">
        <f>+B26*1000/C26</f>
        <v>967931.5805379269</v>
      </c>
      <c r="E26" s="400">
        <v>288376</v>
      </c>
      <c r="F26" s="15">
        <f>+B26*1000/E26</f>
        <v>166599.4534912753</v>
      </c>
    </row>
    <row r="27" spans="1:6" ht="12.75">
      <c r="A27" s="3" t="s">
        <v>15</v>
      </c>
      <c r="B27" s="135">
        <v>3282266</v>
      </c>
      <c r="C27" s="362">
        <v>2060</v>
      </c>
      <c r="D27" s="2">
        <f>+B27*1000/C27</f>
        <v>1593333.009708738</v>
      </c>
      <c r="E27" s="400">
        <v>20222</v>
      </c>
      <c r="F27" s="15">
        <f>+B27*1000/E27</f>
        <v>162311.6407872614</v>
      </c>
    </row>
    <row r="28" spans="1:6" ht="12.75">
      <c r="A28" s="3"/>
      <c r="B28" s="76"/>
      <c r="C28" s="402"/>
      <c r="D28" s="2"/>
      <c r="E28" s="23"/>
      <c r="F28" s="15"/>
    </row>
    <row r="29" spans="1:6" ht="12.75">
      <c r="A29" s="3" t="s">
        <v>16</v>
      </c>
      <c r="B29" s="135">
        <v>179221107</v>
      </c>
      <c r="C29" s="362">
        <v>138139.25</v>
      </c>
      <c r="D29" s="2">
        <f>+B29*1000/C29</f>
        <v>1297394.5276233945</v>
      </c>
      <c r="E29" s="400">
        <v>976203</v>
      </c>
      <c r="F29" s="15">
        <f>+B29*1000/E29</f>
        <v>183589.99818685252</v>
      </c>
    </row>
    <row r="30" spans="1:6" ht="12.75">
      <c r="A30" s="3" t="s">
        <v>17</v>
      </c>
      <c r="B30" s="135">
        <v>99039894</v>
      </c>
      <c r="C30" s="362">
        <v>120170.75</v>
      </c>
      <c r="D30" s="2">
        <f>+B30*1000/C30</f>
        <v>824159.7393708535</v>
      </c>
      <c r="E30" s="400">
        <v>865271</v>
      </c>
      <c r="F30" s="15">
        <f>+B30*1000/E30</f>
        <v>114461.12720754539</v>
      </c>
    </row>
    <row r="31" spans="1:6" ht="12.75">
      <c r="A31" s="3" t="s">
        <v>18</v>
      </c>
      <c r="B31" s="135">
        <v>8749244</v>
      </c>
      <c r="C31" s="362">
        <v>7477</v>
      </c>
      <c r="D31" s="2">
        <f>+B31*1000/C31</f>
        <v>1170154.339975926</v>
      </c>
      <c r="E31" s="400">
        <v>47899</v>
      </c>
      <c r="F31" s="15">
        <f>+B31*1000/E31</f>
        <v>182660.26430614418</v>
      </c>
    </row>
    <row r="32" spans="1:6" ht="12.75">
      <c r="A32" s="3" t="s">
        <v>19</v>
      </c>
      <c r="B32" s="135">
        <v>13182756</v>
      </c>
      <c r="C32" s="362">
        <v>16376</v>
      </c>
      <c r="D32" s="2">
        <f>+B32*1000/C32</f>
        <v>805004.640937958</v>
      </c>
      <c r="E32" s="400">
        <v>105786</v>
      </c>
      <c r="F32" s="15">
        <f>+B32*1000/E32</f>
        <v>124617.20832624355</v>
      </c>
    </row>
    <row r="33" spans="1:6" ht="12.75">
      <c r="A33" s="3" t="s">
        <v>20</v>
      </c>
      <c r="B33" s="135">
        <v>1769205</v>
      </c>
      <c r="C33" s="362">
        <v>2702.25</v>
      </c>
      <c r="D33" s="2">
        <f>+B33*1000/C33</f>
        <v>654715.5148487372</v>
      </c>
      <c r="E33" s="400">
        <v>26481</v>
      </c>
      <c r="F33" s="15">
        <f>+B33*1000/E33</f>
        <v>66810.35459385975</v>
      </c>
    </row>
    <row r="34" spans="1:6" ht="12.75">
      <c r="A34" s="3"/>
      <c r="B34" s="135"/>
      <c r="C34" s="402"/>
      <c r="D34" s="2"/>
      <c r="E34" s="23"/>
      <c r="F34" s="15"/>
    </row>
    <row r="35" spans="1:6" ht="12.75">
      <c r="A35" s="3" t="s">
        <v>21</v>
      </c>
      <c r="B35" s="135">
        <v>10134945</v>
      </c>
      <c r="C35" s="362">
        <v>4273</v>
      </c>
      <c r="D35" s="2">
        <f>+B35*1000/C35</f>
        <v>2371857.009127077</v>
      </c>
      <c r="E35" s="25">
        <v>37834</v>
      </c>
      <c r="F35" s="15">
        <f>+B35*1000/E35</f>
        <v>267879.28847068775</v>
      </c>
    </row>
    <row r="36" spans="1:6" ht="12.75">
      <c r="A36" s="3" t="s">
        <v>22</v>
      </c>
      <c r="B36" s="135">
        <v>14221239</v>
      </c>
      <c r="C36" s="362">
        <v>21383.25</v>
      </c>
      <c r="D36" s="2">
        <f>+B36*1000/C36</f>
        <v>665064.4312721406</v>
      </c>
      <c r="E36" s="25">
        <v>147558</v>
      </c>
      <c r="F36" s="15">
        <f>+B36*1000/E36</f>
        <v>96377.2821534583</v>
      </c>
    </row>
    <row r="37" spans="1:6" ht="12.75">
      <c r="A37" s="3" t="s">
        <v>23</v>
      </c>
      <c r="B37" s="135">
        <v>7695967</v>
      </c>
      <c r="C37" s="362">
        <v>13962</v>
      </c>
      <c r="D37" s="2">
        <f>+B37*1000/C37</f>
        <v>551208.0647471709</v>
      </c>
      <c r="E37" s="25">
        <v>98843</v>
      </c>
      <c r="F37" s="15">
        <f>+B37*1000/E37</f>
        <v>77860.51617211133</v>
      </c>
    </row>
    <row r="38" spans="1:6" ht="13.5" thickBot="1">
      <c r="A38" s="7" t="s">
        <v>24</v>
      </c>
      <c r="B38" s="404">
        <v>18180328</v>
      </c>
      <c r="C38" s="403">
        <v>6264</v>
      </c>
      <c r="D38" s="83">
        <f>+B38*1000/C38</f>
        <v>2902351.2132822475</v>
      </c>
      <c r="E38" s="401">
        <v>51431</v>
      </c>
      <c r="F38" s="84">
        <f>+B38*1000/E38</f>
        <v>353489.68520930957</v>
      </c>
    </row>
    <row r="39" spans="1:6" ht="12.75">
      <c r="A39" s="3"/>
      <c r="B39" s="135"/>
      <c r="C39" s="147"/>
      <c r="D39" s="2"/>
      <c r="E39" s="30"/>
      <c r="F39" s="15"/>
    </row>
    <row r="40" spans="1:6" ht="12.75">
      <c r="A40" s="172" t="s">
        <v>278</v>
      </c>
      <c r="B40" s="2"/>
      <c r="C40" s="2"/>
      <c r="D40" s="2"/>
      <c r="E40" s="144"/>
      <c r="F40" s="15"/>
    </row>
    <row r="41" ht="12.75">
      <c r="A41" s="409" t="s">
        <v>280</v>
      </c>
    </row>
    <row r="42" spans="1:2" ht="12.75">
      <c r="A42" s="409" t="s">
        <v>283</v>
      </c>
      <c r="B42" s="406" t="s">
        <v>279</v>
      </c>
    </row>
    <row r="44" ht="12.75">
      <c r="A44" s="32" t="s">
        <v>285</v>
      </c>
    </row>
    <row r="45" ht="12.75">
      <c r="A45" s="32"/>
    </row>
    <row r="46" ht="12.75">
      <c r="A46" s="411" t="s">
        <v>286</v>
      </c>
    </row>
    <row r="47" ht="12.75">
      <c r="A47" s="82" t="s">
        <v>287</v>
      </c>
    </row>
    <row r="48" spans="1:2" ht="12.75">
      <c r="A48" s="82" t="s">
        <v>288</v>
      </c>
      <c r="B48" s="410" t="s">
        <v>284</v>
      </c>
    </row>
    <row r="49" spans="4:5" ht="20.25" customHeight="1">
      <c r="D49" s="38"/>
      <c r="E49"/>
    </row>
    <row r="50" spans="4:5" ht="12.75">
      <c r="D50" s="38"/>
      <c r="E50"/>
    </row>
    <row r="51" spans="4:5" ht="12.75">
      <c r="D51" s="38"/>
      <c r="E51"/>
    </row>
    <row r="52" spans="4:5" ht="12.75">
      <c r="D52" s="38"/>
      <c r="E52"/>
    </row>
    <row r="53" spans="4:5" ht="12.75">
      <c r="D53" s="38"/>
      <c r="E53"/>
    </row>
    <row r="54" spans="4:5" ht="12.75">
      <c r="D54" s="38"/>
      <c r="E54"/>
    </row>
    <row r="55" spans="4:5" ht="12.75">
      <c r="D55" s="38"/>
      <c r="E55"/>
    </row>
    <row r="56" spans="4:5" ht="12.75">
      <c r="D56" s="38"/>
      <c r="E56"/>
    </row>
    <row r="57" spans="4:5" ht="12.75">
      <c r="D57" s="38"/>
      <c r="E57"/>
    </row>
    <row r="58" spans="4:5" ht="12.75">
      <c r="D58" s="38"/>
      <c r="E58"/>
    </row>
    <row r="59" spans="4:5" ht="12.75">
      <c r="D59" s="38"/>
      <c r="E59"/>
    </row>
    <row r="60" spans="4:5" ht="12.75">
      <c r="D60" s="38"/>
      <c r="E60"/>
    </row>
    <row r="61" spans="4:5" ht="12.75">
      <c r="D61" s="38"/>
      <c r="E61"/>
    </row>
    <row r="62" spans="4:5" ht="12.75">
      <c r="D62" s="38"/>
      <c r="E62"/>
    </row>
    <row r="63" spans="4:5" ht="12.75">
      <c r="D63" s="38"/>
      <c r="E63"/>
    </row>
    <row r="64" spans="4:5" ht="12.75">
      <c r="D64" s="38"/>
      <c r="E64"/>
    </row>
    <row r="65" spans="4:5" ht="12.75">
      <c r="D65" s="38"/>
      <c r="E65"/>
    </row>
    <row r="66" spans="4:5" ht="12.75">
      <c r="D66" s="38"/>
      <c r="E66"/>
    </row>
    <row r="67" spans="4:5" ht="12.75">
      <c r="D67" s="38"/>
      <c r="E67"/>
    </row>
    <row r="68" spans="4:5" ht="12.75">
      <c r="D68" s="38"/>
      <c r="E68"/>
    </row>
    <row r="69" spans="4:5" ht="12.75">
      <c r="D69" s="38"/>
      <c r="E69"/>
    </row>
    <row r="70" spans="4:5" ht="12.75">
      <c r="D70" s="38"/>
      <c r="E70"/>
    </row>
    <row r="71" spans="4:5" ht="12.75">
      <c r="D71" s="38"/>
      <c r="E71"/>
    </row>
    <row r="72" spans="4:5" ht="12.75">
      <c r="D72" s="38"/>
      <c r="E72"/>
    </row>
    <row r="73" spans="4:5" ht="12.75">
      <c r="D73" s="38"/>
      <c r="E73"/>
    </row>
    <row r="74" spans="4:5" ht="12.75">
      <c r="D74" s="38"/>
      <c r="E74"/>
    </row>
    <row r="75" spans="4:5" ht="12.75">
      <c r="D75" s="38"/>
      <c r="E75"/>
    </row>
  </sheetData>
  <sheetProtection password="CAF5" sheet="1" objects="1" scenarios="1"/>
  <mergeCells count="3">
    <mergeCell ref="A1:F1"/>
    <mergeCell ref="A3:F3"/>
    <mergeCell ref="E5:E8"/>
  </mergeCells>
  <hyperlinks>
    <hyperlink ref="B42" r:id="rId1" display="http://www.dat.state.md.us/sdatweb/stats/AnnualRpt_2011.pdf"/>
    <hyperlink ref="B48" r:id="rId2" display="http://www.census.gov/popest/counties/tables/CO-EST2009-01-24.xls"/>
  </hyperlinks>
  <printOptions horizontalCentered="1"/>
  <pageMargins left="0.75" right="0.75" top="0.83" bottom="1" header="0.67" footer="0.5"/>
  <pageSetup fitToHeight="1" fitToWidth="1" horizontalDpi="600" verticalDpi="600" orientation="landscape" scale="82" r:id="rId3"/>
  <headerFooter alignWithMargins="0">
    <oddHeader>&amp;R
</oddHeader>
    <oddFooter>&amp;L&amp;"Arial,Italic"&amp;9MSDE - LFRO  11 / 2012&amp;C- 19 -&amp;R&amp;"Arial,Italic"&amp;9Selected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14.140625" style="89" customWidth="1"/>
    <col min="2" max="2" width="16.7109375" style="89" customWidth="1"/>
    <col min="3" max="3" width="17.7109375" style="89" bestFit="1" customWidth="1"/>
    <col min="4" max="4" width="16.28125" style="89" customWidth="1"/>
    <col min="5" max="5" width="17.7109375" style="89" bestFit="1" customWidth="1"/>
    <col min="6" max="6" width="14.8515625" style="89" bestFit="1" customWidth="1"/>
    <col min="7" max="7" width="13.28125" style="89" customWidth="1"/>
    <col min="8" max="8" width="2.7109375" style="89" customWidth="1"/>
    <col min="9" max="12" width="9.140625" style="89" customWidth="1"/>
    <col min="14" max="14" width="16.00390625" style="54" bestFit="1" customWidth="1"/>
    <col min="15" max="15" width="15.00390625" style="55" bestFit="1" customWidth="1"/>
    <col min="16" max="16" width="14.00390625" style="55" bestFit="1" customWidth="1"/>
    <col min="17" max="17" width="16.00390625" style="55" bestFit="1" customWidth="1"/>
  </cols>
  <sheetData>
    <row r="1" spans="1:12" ht="12.75">
      <c r="A1" s="426" t="s">
        <v>86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2.75">
      <c r="A2" s="23"/>
      <c r="B2" s="23"/>
      <c r="C2" s="87"/>
      <c r="D2" s="88"/>
      <c r="E2" s="23"/>
      <c r="F2" s="23"/>
      <c r="G2" s="23"/>
      <c r="H2" s="23"/>
      <c r="I2" s="23"/>
      <c r="J2" s="23"/>
      <c r="K2" s="23"/>
      <c r="L2" s="23"/>
    </row>
    <row r="3" spans="1:17" s="34" customFormat="1" ht="12.75">
      <c r="A3" s="426" t="s">
        <v>273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N3" s="66"/>
      <c r="O3" s="86"/>
      <c r="P3" s="86"/>
      <c r="Q3" s="86"/>
    </row>
    <row r="4" spans="1:12" ht="12.75">
      <c r="A4" s="427" t="s">
        <v>142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ht="13.5" thickBot="1">
      <c r="I5" s="90"/>
    </row>
    <row r="6" spans="1:59" ht="15" customHeight="1" thickTop="1">
      <c r="A6" s="91" t="s">
        <v>77</v>
      </c>
      <c r="B6" s="92" t="s">
        <v>43</v>
      </c>
      <c r="C6" s="429" t="s">
        <v>80</v>
      </c>
      <c r="D6" s="429"/>
      <c r="E6" s="430"/>
      <c r="F6" s="430"/>
      <c r="G6" s="91"/>
      <c r="H6" s="91"/>
      <c r="I6" s="429" t="s">
        <v>82</v>
      </c>
      <c r="J6" s="429"/>
      <c r="K6" s="429"/>
      <c r="L6" s="429"/>
      <c r="M6" s="19"/>
      <c r="N6" s="77"/>
      <c r="O6" s="68"/>
      <c r="P6" s="68"/>
      <c r="Q6" s="6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12" ht="12.75">
      <c r="A7" s="93" t="s">
        <v>33</v>
      </c>
      <c r="B7" s="94" t="s">
        <v>83</v>
      </c>
      <c r="C7" s="428" t="s">
        <v>77</v>
      </c>
      <c r="D7" s="428"/>
      <c r="E7" s="95"/>
      <c r="F7" s="95"/>
      <c r="G7" s="94" t="s">
        <v>79</v>
      </c>
      <c r="H7" s="94"/>
      <c r="I7" s="96"/>
      <c r="J7" s="96"/>
      <c r="K7" s="96"/>
      <c r="L7" s="96" t="s">
        <v>79</v>
      </c>
    </row>
    <row r="8" spans="1:12" ht="13.5" thickBot="1">
      <c r="A8" s="97" t="s">
        <v>132</v>
      </c>
      <c r="B8" s="98" t="s">
        <v>84</v>
      </c>
      <c r="C8" s="99" t="s">
        <v>194</v>
      </c>
      <c r="D8" s="99" t="s">
        <v>196</v>
      </c>
      <c r="E8" s="99" t="s">
        <v>44</v>
      </c>
      <c r="F8" s="99" t="s">
        <v>51</v>
      </c>
      <c r="G8" s="99" t="s">
        <v>81</v>
      </c>
      <c r="H8" s="99"/>
      <c r="I8" s="98" t="s">
        <v>77</v>
      </c>
      <c r="J8" s="98" t="s">
        <v>44</v>
      </c>
      <c r="K8" s="100" t="s">
        <v>51</v>
      </c>
      <c r="L8" s="99" t="s">
        <v>81</v>
      </c>
    </row>
    <row r="9" spans="1:17" ht="12.75">
      <c r="A9" s="101" t="s">
        <v>0</v>
      </c>
      <c r="B9" s="102">
        <f aca="true" t="shared" si="0" ref="B9:G9">SUM(B11:B38)</f>
        <v>11970930751.800001</v>
      </c>
      <c r="C9" s="103">
        <f t="shared" si="0"/>
        <v>5322288281.660001</v>
      </c>
      <c r="D9" s="102">
        <f t="shared" si="0"/>
        <v>88449284.4</v>
      </c>
      <c r="E9" s="103">
        <f t="shared" si="0"/>
        <v>5286341776.429999</v>
      </c>
      <c r="F9" s="103">
        <f t="shared" si="0"/>
        <v>1237672290.2900004</v>
      </c>
      <c r="G9" s="102">
        <f t="shared" si="0"/>
        <v>36179119.02000001</v>
      </c>
      <c r="H9" s="102"/>
      <c r="I9" s="104">
        <f>IF(B9&lt;&gt;0,((+C9+D9)/B9),(IF(C9&lt;&gt;0,1,0)))</f>
        <v>0.4519897139365223</v>
      </c>
      <c r="J9" s="104">
        <f>IF($B9&lt;&gt;0,(E9/$B9),(IF(E9&lt;&gt;0,1,0)))</f>
        <v>0.4415982254040791</v>
      </c>
      <c r="K9" s="104">
        <f>IF($B9&lt;&gt;0,(F9/$B9),(IF(F9&lt;&gt;0,1,0)))</f>
        <v>0.10338981286846878</v>
      </c>
      <c r="L9" s="104">
        <f>IF($B9&lt;&gt;0,(G9/$B9),(IF(G9&lt;&gt;0,1,0)))</f>
        <v>0.0030222477909297037</v>
      </c>
      <c r="M9" s="55"/>
      <c r="N9" s="69"/>
      <c r="O9" s="69"/>
      <c r="P9" s="69"/>
      <c r="Q9" s="69"/>
    </row>
    <row r="10" spans="1:14" ht="12.75">
      <c r="A10" s="101"/>
      <c r="B10" s="105"/>
      <c r="C10" s="106"/>
      <c r="D10" s="107"/>
      <c r="E10" s="108"/>
      <c r="F10" s="108"/>
      <c r="G10" s="108"/>
      <c r="H10" s="108"/>
      <c r="I10" s="109"/>
      <c r="J10" s="109"/>
      <c r="K10" s="109"/>
      <c r="L10" s="109"/>
      <c r="M10" s="55"/>
      <c r="N10" s="67"/>
    </row>
    <row r="11" spans="1:17" ht="12.75">
      <c r="A11" s="110" t="s">
        <v>1</v>
      </c>
      <c r="B11" s="111">
        <f aca="true" t="shared" si="1" ref="B11:B38">SUM(C11:G11)</f>
        <v>133947412.99</v>
      </c>
      <c r="C11" s="357">
        <v>28240000</v>
      </c>
      <c r="D11" s="357">
        <v>457741.83</v>
      </c>
      <c r="E11" s="232">
        <f>state1!C12</f>
        <v>88331565.31</v>
      </c>
      <c r="F11" s="231">
        <f>fed1!B12-'table 6'!I12</f>
        <v>16758899.770000001</v>
      </c>
      <c r="G11" s="357">
        <v>159206.08000000002</v>
      </c>
      <c r="H11" s="281"/>
      <c r="I11" s="308">
        <f>IF(B11&lt;&gt;0,((+C11+D11)/B11*100),(IF(C11&lt;&gt;0,1,0)))</f>
        <v>21.42463313729132</v>
      </c>
      <c r="J11" s="308">
        <f>IF($B11&lt;&gt;0,(E11/$B11*100),(IF(E11&lt;&gt;0,1,0)))</f>
        <v>65.94495805349709</v>
      </c>
      <c r="K11" s="113">
        <f aca="true" t="shared" si="2" ref="K11:L26">IF($B11&lt;&gt;0,(F11/$B11*100),(IF(F11&lt;&gt;0,1,0)))</f>
        <v>12.511551657403908</v>
      </c>
      <c r="L11" s="113">
        <f t="shared" si="2"/>
        <v>0.11885715180769167</v>
      </c>
      <c r="M11" s="71"/>
      <c r="N11" s="70"/>
      <c r="Q11" s="71"/>
    </row>
    <row r="12" spans="1:17" ht="12.75">
      <c r="A12" s="110" t="s">
        <v>2</v>
      </c>
      <c r="B12" s="111">
        <f t="shared" si="1"/>
        <v>986515016.3399999</v>
      </c>
      <c r="C12" s="357">
        <v>562363651</v>
      </c>
      <c r="D12" s="358">
        <v>5595074.38</v>
      </c>
      <c r="E12" s="232">
        <f>state1!C13</f>
        <v>341126038.92</v>
      </c>
      <c r="F12" s="231">
        <f>fed1!B13-'table 6'!I13</f>
        <v>77060491.04</v>
      </c>
      <c r="G12" s="357">
        <v>369761</v>
      </c>
      <c r="H12" s="264"/>
      <c r="I12" s="308">
        <f>IF(B12&lt;&gt;0,((+C12+D12)/B12*100),(IF(C12&lt;&gt;0,1,0)))</f>
        <v>57.57223316145189</v>
      </c>
      <c r="J12" s="308">
        <f>IF($B12&lt;&gt;0,(E12/$B12*100),(IF(E12&lt;&gt;0,1,0)))</f>
        <v>34.5788997906578</v>
      </c>
      <c r="K12" s="113">
        <f t="shared" si="2"/>
        <v>7.811385509963824</v>
      </c>
      <c r="L12" s="113">
        <f t="shared" si="2"/>
        <v>0.037481537926490394</v>
      </c>
      <c r="M12" s="55"/>
      <c r="N12" s="70"/>
      <c r="Q12" s="71"/>
    </row>
    <row r="13" spans="1:17" ht="12.75">
      <c r="A13" s="110" t="s">
        <v>3</v>
      </c>
      <c r="B13" s="111">
        <f t="shared" si="1"/>
        <v>1389160619.35</v>
      </c>
      <c r="C13" s="357">
        <f>238073186-8412972.19</f>
        <v>229660213.81</v>
      </c>
      <c r="D13" s="357">
        <v>10063320.08</v>
      </c>
      <c r="E13" s="232">
        <f>state1!C14</f>
        <v>873589575.1199999</v>
      </c>
      <c r="F13" s="231">
        <f>fed1!B14-'table 6'!I14</f>
        <v>275847510.34</v>
      </c>
      <c r="G13" s="357">
        <v>0</v>
      </c>
      <c r="H13" s="264"/>
      <c r="I13" s="308">
        <f>IF(B13&lt;&gt;0,((+C13+D13)/B13*100),(IF(C13&lt;&gt;0,1,0)))</f>
        <v>17.256718233357976</v>
      </c>
      <c r="J13" s="308">
        <f>IF($B13&lt;&gt;0,(E13/$B13*100),(IF(E13&lt;&gt;0,1,0)))</f>
        <v>62.8861459899979</v>
      </c>
      <c r="K13" s="113">
        <f t="shared" si="2"/>
        <v>19.857135776644128</v>
      </c>
      <c r="L13" s="113">
        <f t="shared" si="2"/>
        <v>0</v>
      </c>
      <c r="M13" s="55"/>
      <c r="N13" s="70"/>
      <c r="Q13" s="71"/>
    </row>
    <row r="14" spans="1:17" ht="12.75">
      <c r="A14" s="110" t="s">
        <v>4</v>
      </c>
      <c r="B14" s="111">
        <f t="shared" si="1"/>
        <v>1410167433.71</v>
      </c>
      <c r="C14" s="357">
        <v>663192510</v>
      </c>
      <c r="D14" s="357">
        <v>3805393.73</v>
      </c>
      <c r="E14" s="232">
        <f>state1!C15</f>
        <v>586253406.04</v>
      </c>
      <c r="F14" s="231">
        <f>fed1!B15-'table 6'!I15</f>
        <v>136282944.94</v>
      </c>
      <c r="G14" s="357">
        <v>20633179</v>
      </c>
      <c r="H14" s="264"/>
      <c r="I14" s="308">
        <f>IF(B14&lt;&gt;0,((+C14+D14)/B14*100),(IF(C14&lt;&gt;0,1,0)))</f>
        <v>47.299199214606716</v>
      </c>
      <c r="J14" s="308">
        <f>IF($B14&lt;&gt;0,(E14/$B14*100),(IF(E14&lt;&gt;0,1,0)))</f>
        <v>41.57331902762992</v>
      </c>
      <c r="K14" s="113">
        <f t="shared" si="2"/>
        <v>9.664309477169963</v>
      </c>
      <c r="L14" s="113">
        <f t="shared" si="2"/>
        <v>1.463172280593398</v>
      </c>
      <c r="M14" s="55"/>
      <c r="N14" s="70"/>
      <c r="Q14" s="71"/>
    </row>
    <row r="15" spans="1:17" ht="12.75">
      <c r="A15" s="110" t="s">
        <v>5</v>
      </c>
      <c r="B15" s="111">
        <f t="shared" si="1"/>
        <v>220096775.43999997</v>
      </c>
      <c r="C15" s="357">
        <v>105010110</v>
      </c>
      <c r="D15" s="357">
        <v>1144236.57</v>
      </c>
      <c r="E15" s="232">
        <f>state1!C16</f>
        <v>97947755.00999999</v>
      </c>
      <c r="F15" s="231">
        <f>fed1!B16-'table 6'!I16</f>
        <v>15394673.859999998</v>
      </c>
      <c r="G15" s="357">
        <v>600000</v>
      </c>
      <c r="H15" s="264"/>
      <c r="I15" s="308">
        <f>IF(B15&lt;&gt;0,((+C15+D15)/B15*100),(IF(C15&lt;&gt;0,1,0)))</f>
        <v>48.230759563734935</v>
      </c>
      <c r="J15" s="308">
        <f>IF($B15&lt;&gt;0,(E15/$B15*100),(IF(E15&lt;&gt;0,1,0)))</f>
        <v>44.50213085320793</v>
      </c>
      <c r="K15" s="113">
        <f t="shared" si="2"/>
        <v>6.994502227133583</v>
      </c>
      <c r="L15" s="113">
        <f t="shared" si="2"/>
        <v>0.2726073559235603</v>
      </c>
      <c r="M15" s="55"/>
      <c r="N15" s="70"/>
      <c r="Q15" s="71"/>
    </row>
    <row r="16" spans="1:14" ht="12.75">
      <c r="A16" s="110"/>
      <c r="B16" s="111"/>
      <c r="C16" s="357"/>
      <c r="D16" s="357"/>
      <c r="E16" s="344"/>
      <c r="F16" s="231"/>
      <c r="G16" s="357"/>
      <c r="H16" s="264"/>
      <c r="I16" s="308"/>
      <c r="J16" s="308"/>
      <c r="K16" s="113"/>
      <c r="L16" s="113"/>
      <c r="M16" s="55"/>
      <c r="N16" s="70"/>
    </row>
    <row r="17" spans="1:17" ht="12.75">
      <c r="A17" s="110" t="s">
        <v>6</v>
      </c>
      <c r="B17" s="111">
        <f t="shared" si="1"/>
        <v>66884609.94</v>
      </c>
      <c r="C17" s="358">
        <v>12415902</v>
      </c>
      <c r="D17" s="357">
        <v>984958.3300000001</v>
      </c>
      <c r="E17" s="232">
        <f>state1!C18</f>
        <v>44733543.699999996</v>
      </c>
      <c r="F17" s="231">
        <f>fed1!B18-'table 6'!I18</f>
        <v>8750205.91</v>
      </c>
      <c r="G17" s="357">
        <v>0</v>
      </c>
      <c r="H17" s="264"/>
      <c r="I17" s="308">
        <f>IF(B17&lt;&gt;0,((+C17+D17)/B17*100),(IF(C17&lt;&gt;0,1,0)))</f>
        <v>20.035790508491377</v>
      </c>
      <c r="J17" s="308">
        <f>IF($B17&lt;&gt;0,(E17/$B17*100),(IF(E17&lt;&gt;0,1,0)))</f>
        <v>66.8816694006723</v>
      </c>
      <c r="K17" s="113">
        <f t="shared" si="2"/>
        <v>13.082540090836329</v>
      </c>
      <c r="L17" s="113">
        <f t="shared" si="2"/>
        <v>0</v>
      </c>
      <c r="M17" s="55"/>
      <c r="N17" s="70"/>
      <c r="Q17" s="71"/>
    </row>
    <row r="18" spans="1:17" ht="12.75">
      <c r="A18" s="110" t="s">
        <v>7</v>
      </c>
      <c r="B18" s="111">
        <f t="shared" si="1"/>
        <v>345271185.10999995</v>
      </c>
      <c r="C18" s="358">
        <v>166780244</v>
      </c>
      <c r="D18" s="357">
        <v>1889265.15</v>
      </c>
      <c r="E18" s="232">
        <f>state1!C19</f>
        <v>157638863.76</v>
      </c>
      <c r="F18" s="231">
        <f>fed1!B19-'table 6'!I19</f>
        <v>16914019.080000002</v>
      </c>
      <c r="G18" s="357">
        <v>2048793.12</v>
      </c>
      <c r="H18" s="264"/>
      <c r="I18" s="308">
        <f>IF(B18&lt;&gt;0,((+C18+D18)/B18*100),(IF(C18&lt;&gt;0,1,0)))</f>
        <v>48.85131352512477</v>
      </c>
      <c r="J18" s="308">
        <f>IF($B18&lt;&gt;0,(E18/$B18*100),(IF(E18&lt;&gt;0,1,0)))</f>
        <v>45.65653624115138</v>
      </c>
      <c r="K18" s="113">
        <f t="shared" si="2"/>
        <v>4.898763583358792</v>
      </c>
      <c r="L18" s="113">
        <f t="shared" si="2"/>
        <v>0.5933866503650674</v>
      </c>
      <c r="M18" s="55"/>
      <c r="N18" s="70"/>
      <c r="Q18" s="71"/>
    </row>
    <row r="19" spans="1:17" ht="12.75">
      <c r="A19" s="110" t="s">
        <v>8</v>
      </c>
      <c r="B19" s="111">
        <f t="shared" si="1"/>
        <v>199596786.98</v>
      </c>
      <c r="C19" s="358">
        <v>68350618</v>
      </c>
      <c r="D19" s="357">
        <v>1005957.9099999999</v>
      </c>
      <c r="E19" s="232">
        <f>state1!C20</f>
        <v>109818135.86</v>
      </c>
      <c r="F19" s="231">
        <f>fed1!B20-'table 6'!I20</f>
        <v>20422075.21</v>
      </c>
      <c r="G19" s="357">
        <v>0</v>
      </c>
      <c r="H19" s="264"/>
      <c r="I19" s="308">
        <f>IF(B19&lt;&gt;0,((+C19+D19)/B19*100),(IF(C19&lt;&gt;0,1,0)))</f>
        <v>34.748342876355856</v>
      </c>
      <c r="J19" s="308">
        <f>IF($B19&lt;&gt;0,(E19/$B19*100),(IF(E19&lt;&gt;0,1,0)))</f>
        <v>55.01999181530112</v>
      </c>
      <c r="K19" s="113">
        <f t="shared" si="2"/>
        <v>10.231665308343032</v>
      </c>
      <c r="L19" s="113">
        <f t="shared" si="2"/>
        <v>0</v>
      </c>
      <c r="M19" s="55"/>
      <c r="N19" s="70"/>
      <c r="Q19" s="71"/>
    </row>
    <row r="20" spans="1:17" ht="12.75">
      <c r="A20" s="110" t="s">
        <v>9</v>
      </c>
      <c r="B20" s="111">
        <f t="shared" si="1"/>
        <v>335185987.05</v>
      </c>
      <c r="C20" s="358">
        <v>145296600</v>
      </c>
      <c r="D20" s="357">
        <v>3267763.42</v>
      </c>
      <c r="E20" s="232">
        <f>state1!C21</f>
        <v>165245092.43</v>
      </c>
      <c r="F20" s="231">
        <f>fed1!B21-'table 6'!I21</f>
        <v>21376531.200000003</v>
      </c>
      <c r="G20" s="357">
        <v>0</v>
      </c>
      <c r="H20" s="264"/>
      <c r="I20" s="308">
        <f>IF(B20&lt;&gt;0,((+C20+D20)/B20*100),(IF(C20&lt;&gt;0,1,0)))</f>
        <v>44.32296371561574</v>
      </c>
      <c r="J20" s="308">
        <f>IF($B20&lt;&gt;0,(E20/$B20*100),(IF(E20&lt;&gt;0,1,0)))</f>
        <v>49.29952289603033</v>
      </c>
      <c r="K20" s="113">
        <f t="shared" si="2"/>
        <v>6.3775133883539254</v>
      </c>
      <c r="L20" s="113">
        <f t="shared" si="2"/>
        <v>0</v>
      </c>
      <c r="M20" s="55"/>
      <c r="N20" s="70"/>
      <c r="Q20" s="71"/>
    </row>
    <row r="21" spans="1:17" ht="12.75">
      <c r="A21" s="110" t="s">
        <v>10</v>
      </c>
      <c r="B21" s="111">
        <f t="shared" si="1"/>
        <v>59272968.00000001</v>
      </c>
      <c r="C21" s="358">
        <v>17389545</v>
      </c>
      <c r="D21" s="357">
        <v>1175497.19</v>
      </c>
      <c r="E21" s="232">
        <f>state1!C22</f>
        <v>33378314.71</v>
      </c>
      <c r="F21" s="231">
        <f>fed1!B22-'table 6'!I22</f>
        <v>7329611.1</v>
      </c>
      <c r="G21" s="357">
        <v>0</v>
      </c>
      <c r="H21" s="264"/>
      <c r="I21" s="308">
        <f>IF(B21&lt;&gt;0,((+C21+D21)/B21*100),(IF(C21&lt;&gt;0,1,0)))</f>
        <v>31.32126299125092</v>
      </c>
      <c r="J21" s="308">
        <f>IF($B21&lt;&gt;0,(E21/$B21*100),(IF(E21&lt;&gt;0,1,0)))</f>
        <v>56.31287893327696</v>
      </c>
      <c r="K21" s="113">
        <f t="shared" si="2"/>
        <v>12.365858075472108</v>
      </c>
      <c r="L21" s="113">
        <f t="shared" si="2"/>
        <v>0</v>
      </c>
      <c r="M21" s="55"/>
      <c r="N21" s="70"/>
      <c r="Q21" s="71"/>
    </row>
    <row r="22" spans="1:14" ht="12.75">
      <c r="A22" s="110"/>
      <c r="B22" s="111"/>
      <c r="C22" s="357"/>
      <c r="D22" s="357"/>
      <c r="E22" s="344"/>
      <c r="F22" s="231"/>
      <c r="G22" s="357"/>
      <c r="H22" s="264"/>
      <c r="I22" s="308"/>
      <c r="J22" s="308"/>
      <c r="K22" s="113"/>
      <c r="L22" s="113"/>
      <c r="M22" s="55"/>
      <c r="N22" s="70"/>
    </row>
    <row r="23" spans="1:17" ht="12.75">
      <c r="A23" s="110" t="s">
        <v>11</v>
      </c>
      <c r="B23" s="111">
        <f t="shared" si="1"/>
        <v>506087711.41</v>
      </c>
      <c r="C23" s="357">
        <v>223501991</v>
      </c>
      <c r="D23" s="357">
        <v>11866244.170000002</v>
      </c>
      <c r="E23" s="232">
        <f>state1!C24</f>
        <v>231927425.03</v>
      </c>
      <c r="F23" s="231">
        <f>fed1!B24-'table 6'!I24</f>
        <v>38792051.20999999</v>
      </c>
      <c r="G23" s="357">
        <v>0</v>
      </c>
      <c r="H23" s="264"/>
      <c r="I23" s="308">
        <f>IF(B23&lt;&gt;0,((+C23+D23)/B23*100),(IF(C23&lt;&gt;0,1,0)))</f>
        <v>46.507399777450765</v>
      </c>
      <c r="J23" s="308">
        <f aca="true" t="shared" si="3" ref="J23:L27">IF($B23&lt;&gt;0,(E23/$B23*100),(IF(E23&lt;&gt;0,1,0)))</f>
        <v>45.82751562645772</v>
      </c>
      <c r="K23" s="113">
        <f t="shared" si="2"/>
        <v>7.665084596091515</v>
      </c>
      <c r="L23" s="113">
        <f t="shared" si="2"/>
        <v>0</v>
      </c>
      <c r="M23" s="55"/>
      <c r="N23" s="70"/>
      <c r="Q23" s="71"/>
    </row>
    <row r="24" spans="1:17" ht="12.75">
      <c r="A24" s="110" t="s">
        <v>12</v>
      </c>
      <c r="B24" s="111">
        <f t="shared" si="1"/>
        <v>58023167.64</v>
      </c>
      <c r="C24" s="357">
        <v>23386980.76</v>
      </c>
      <c r="D24" s="357">
        <v>250011.72</v>
      </c>
      <c r="E24" s="232">
        <f>state1!C25</f>
        <v>26516858.94</v>
      </c>
      <c r="F24" s="231">
        <f>fed1!B25-'table 6'!I25</f>
        <v>7712444.51</v>
      </c>
      <c r="G24" s="357">
        <v>156871.71</v>
      </c>
      <c r="H24" s="264"/>
      <c r="I24" s="308">
        <f>IF(B24&lt;&gt;0,((+C24+D24)/B24*100),(IF(C24&lt;&gt;0,1,0)))</f>
        <v>40.73716317360298</v>
      </c>
      <c r="J24" s="308">
        <f t="shared" si="3"/>
        <v>45.7004676210056</v>
      </c>
      <c r="K24" s="113">
        <f t="shared" si="2"/>
        <v>13.29200873322055</v>
      </c>
      <c r="L24" s="113">
        <f t="shared" si="2"/>
        <v>0.27036047217087095</v>
      </c>
      <c r="M24" s="55"/>
      <c r="N24" s="70"/>
      <c r="Q24" s="71"/>
    </row>
    <row r="25" spans="1:17" ht="12.75">
      <c r="A25" s="110" t="s">
        <v>13</v>
      </c>
      <c r="B25" s="111">
        <f t="shared" si="1"/>
        <v>496362217.86</v>
      </c>
      <c r="C25" s="357">
        <v>211067388</v>
      </c>
      <c r="D25" s="357">
        <v>5597610.76</v>
      </c>
      <c r="E25" s="232">
        <f>state1!C26</f>
        <v>233332590.58</v>
      </c>
      <c r="F25" s="231">
        <f>fed1!B26-'table 6'!I26</f>
        <v>40626930.5</v>
      </c>
      <c r="G25" s="357">
        <v>5737698.02</v>
      </c>
      <c r="H25" s="264"/>
      <c r="I25" s="308">
        <f>IF(B25&lt;&gt;0,((+C25+D25)/B25*100),(IF(C25&lt;&gt;0,1,0)))</f>
        <v>43.65058236989158</v>
      </c>
      <c r="J25" s="308">
        <f t="shared" si="3"/>
        <v>47.00853171016573</v>
      </c>
      <c r="K25" s="113">
        <f t="shared" si="2"/>
        <v>8.184936128933753</v>
      </c>
      <c r="L25" s="113">
        <f t="shared" si="2"/>
        <v>1.1559497910089378</v>
      </c>
      <c r="M25" s="55"/>
      <c r="N25" s="70"/>
      <c r="Q25" s="71"/>
    </row>
    <row r="26" spans="1:17" ht="12.75">
      <c r="A26" s="110" t="s">
        <v>14</v>
      </c>
      <c r="B26" s="111">
        <f t="shared" si="1"/>
        <v>769170236.0200001</v>
      </c>
      <c r="C26" s="357">
        <v>464708788</v>
      </c>
      <c r="D26" s="357">
        <v>7222054</v>
      </c>
      <c r="E26" s="232">
        <f>state1!C27</f>
        <v>256791392.19</v>
      </c>
      <c r="F26" s="231">
        <f>fed1!B27-'table 6'!I27</f>
        <v>39164666.83</v>
      </c>
      <c r="G26" s="357">
        <v>1283335</v>
      </c>
      <c r="H26" s="264"/>
      <c r="I26" s="308">
        <f>IF(B26&lt;&gt;0,((+C26+D26)/B26*100),(IF(C26&lt;&gt;0,1,0)))</f>
        <v>61.355837745615624</v>
      </c>
      <c r="J26" s="308">
        <f t="shared" si="3"/>
        <v>33.385508196305565</v>
      </c>
      <c r="K26" s="113">
        <f t="shared" si="2"/>
        <v>5.091807378384001</v>
      </c>
      <c r="L26" s="113">
        <f t="shared" si="2"/>
        <v>0.16684667969479652</v>
      </c>
      <c r="M26" s="55"/>
      <c r="N26" s="70"/>
      <c r="Q26" s="71"/>
    </row>
    <row r="27" spans="1:17" ht="12.75">
      <c r="A27" s="110" t="s">
        <v>15</v>
      </c>
      <c r="B27" s="111">
        <f t="shared" si="1"/>
        <v>32503100.619999997</v>
      </c>
      <c r="C27" s="357">
        <v>17119319</v>
      </c>
      <c r="D27" s="357">
        <v>231188.22</v>
      </c>
      <c r="E27" s="232">
        <f>state1!C28</f>
        <v>11095401.129999999</v>
      </c>
      <c r="F27" s="231">
        <f>fed1!B28-'table 6'!I28</f>
        <v>4057192.27</v>
      </c>
      <c r="G27" s="357">
        <v>0</v>
      </c>
      <c r="H27" s="264"/>
      <c r="I27" s="308">
        <f>IF(B27&lt;&gt;0,((+C27+D27)/B27*100),(IF(C27&lt;&gt;0,1,0)))</f>
        <v>53.381083309091395</v>
      </c>
      <c r="J27" s="308">
        <f t="shared" si="3"/>
        <v>34.136439042288515</v>
      </c>
      <c r="K27" s="113">
        <f t="shared" si="3"/>
        <v>12.482477648620097</v>
      </c>
      <c r="L27" s="113">
        <f t="shared" si="3"/>
        <v>0</v>
      </c>
      <c r="M27" s="55"/>
      <c r="N27" s="70"/>
      <c r="Q27" s="71"/>
    </row>
    <row r="28" spans="1:14" ht="12.75">
      <c r="A28" s="110"/>
      <c r="B28" s="111"/>
      <c r="C28" s="357"/>
      <c r="D28" s="357"/>
      <c r="E28" s="344"/>
      <c r="F28" s="231"/>
      <c r="G28" s="357"/>
      <c r="H28" s="264"/>
      <c r="I28" s="308"/>
      <c r="J28" s="308"/>
      <c r="K28" s="113"/>
      <c r="L28" s="113"/>
      <c r="M28" s="55"/>
      <c r="N28" s="70"/>
    </row>
    <row r="29" spans="1:17" ht="12.75">
      <c r="A29" s="110" t="s">
        <v>16</v>
      </c>
      <c r="B29" s="111">
        <f t="shared" si="1"/>
        <v>2229662094.3399997</v>
      </c>
      <c r="C29" s="357">
        <v>1415260320.64</v>
      </c>
      <c r="D29" s="357">
        <v>15067298.299999999</v>
      </c>
      <c r="E29" s="232">
        <f>state1!C30</f>
        <v>636219964.28</v>
      </c>
      <c r="F29" s="231">
        <f>fed1!B30-'table 6'!I30</f>
        <v>162924748.23</v>
      </c>
      <c r="G29" s="357">
        <v>189762.89</v>
      </c>
      <c r="H29" s="264"/>
      <c r="I29" s="308">
        <f>IF(B29&lt;&gt;0,((+C29+D29)/B29*100),(IF(C29&lt;&gt;0,1,0)))</f>
        <v>64.149972436222</v>
      </c>
      <c r="J29" s="308">
        <f aca="true" t="shared" si="4" ref="J29:L33">IF($B29&lt;&gt;0,(E29/$B29*100),(IF(E29&lt;&gt;0,1,0)))</f>
        <v>28.53436697403814</v>
      </c>
      <c r="K29" s="113">
        <f t="shared" si="4"/>
        <v>7.307149753479897</v>
      </c>
      <c r="L29" s="113">
        <f t="shared" si="4"/>
        <v>0.0085108362599747</v>
      </c>
      <c r="M29" s="55"/>
      <c r="N29" s="70"/>
      <c r="Q29" s="71"/>
    </row>
    <row r="30" spans="1:17" ht="12.75">
      <c r="A30" s="110" t="s">
        <v>17</v>
      </c>
      <c r="B30" s="111">
        <f t="shared" si="1"/>
        <v>1767692570.43</v>
      </c>
      <c r="C30" s="357">
        <v>598152975.73</v>
      </c>
      <c r="D30" s="357">
        <v>12899118.9</v>
      </c>
      <c r="E30" s="232">
        <f>state1!C31</f>
        <v>912662379.23</v>
      </c>
      <c r="F30" s="231">
        <f>fed1!B31-'table 6'!I31</f>
        <v>243978096.57</v>
      </c>
      <c r="G30" s="357">
        <v>0</v>
      </c>
      <c r="H30" s="264"/>
      <c r="I30" s="308">
        <f>IF(B30&lt;&gt;0,((+C30+D30)/B30*100),(IF(C30&lt;&gt;0,1,0)))</f>
        <v>34.56778089423992</v>
      </c>
      <c r="J30" s="308">
        <f t="shared" si="4"/>
        <v>51.630153030964564</v>
      </c>
      <c r="K30" s="113">
        <f t="shared" si="4"/>
        <v>13.80206607479552</v>
      </c>
      <c r="L30" s="113">
        <f t="shared" si="4"/>
        <v>0</v>
      </c>
      <c r="M30" s="55"/>
      <c r="N30" s="70"/>
      <c r="Q30" s="71"/>
    </row>
    <row r="31" spans="1:17" ht="12.75">
      <c r="A31" s="110" t="s">
        <v>18</v>
      </c>
      <c r="B31" s="111">
        <f t="shared" si="1"/>
        <v>92533858.61999999</v>
      </c>
      <c r="C31" s="357">
        <v>47957462</v>
      </c>
      <c r="D31" s="358">
        <v>779802.8</v>
      </c>
      <c r="E31" s="232">
        <f>state1!C32</f>
        <v>35747413.11</v>
      </c>
      <c r="F31" s="231">
        <f>fed1!B32-'table 6'!I32</f>
        <v>8049180.709999999</v>
      </c>
      <c r="G31" s="357">
        <v>0</v>
      </c>
      <c r="H31" s="264"/>
      <c r="I31" s="308">
        <f>IF(B31&lt;&gt;0,((+C31+D31)/B31*100),(IF(C31&lt;&gt;0,1,0)))</f>
        <v>52.669655763675316</v>
      </c>
      <c r="J31" s="308">
        <f t="shared" si="4"/>
        <v>38.63171129262047</v>
      </c>
      <c r="K31" s="113">
        <f t="shared" si="4"/>
        <v>8.698632943704213</v>
      </c>
      <c r="L31" s="113">
        <f t="shared" si="4"/>
        <v>0</v>
      </c>
      <c r="M31" s="55"/>
      <c r="N31" s="70"/>
      <c r="Q31" s="71"/>
    </row>
    <row r="32" spans="1:17" ht="12.75">
      <c r="A32" s="110" t="s">
        <v>19</v>
      </c>
      <c r="B32" s="111">
        <f t="shared" si="1"/>
        <v>204078633.21</v>
      </c>
      <c r="C32" s="357">
        <v>76000000</v>
      </c>
      <c r="D32" s="358">
        <v>968272.73</v>
      </c>
      <c r="E32" s="232">
        <f>state1!C33</f>
        <v>102562855.94</v>
      </c>
      <c r="F32" s="231">
        <f>fed1!B33-'table 6'!I33</f>
        <v>22075751.410000004</v>
      </c>
      <c r="G32" s="357">
        <v>2471753.1300000004</v>
      </c>
      <c r="H32" s="264"/>
      <c r="I32" s="308">
        <f>IF(B32&lt;&gt;0,((+C32+D32)/B32*100),(IF(C32&lt;&gt;0,1,0)))</f>
        <v>37.71500794539254</v>
      </c>
      <c r="J32" s="308">
        <f t="shared" si="4"/>
        <v>50.256538044559164</v>
      </c>
      <c r="K32" s="113">
        <f t="shared" si="4"/>
        <v>10.81727717535413</v>
      </c>
      <c r="L32" s="113">
        <f t="shared" si="4"/>
        <v>1.2111768346941685</v>
      </c>
      <c r="M32" s="55"/>
      <c r="N32" s="70"/>
      <c r="Q32" s="71"/>
    </row>
    <row r="33" spans="1:17" ht="12.75">
      <c r="A33" s="110" t="s">
        <v>20</v>
      </c>
      <c r="B33" s="111">
        <f t="shared" si="1"/>
        <v>40878404.38</v>
      </c>
      <c r="C33" s="357">
        <v>8751100</v>
      </c>
      <c r="D33" s="357">
        <v>260868.48999999996</v>
      </c>
      <c r="E33" s="232">
        <f>state1!C34</f>
        <v>25215945.46</v>
      </c>
      <c r="F33" s="231">
        <f>fed1!B34-'table 6'!I34</f>
        <v>6650490.43</v>
      </c>
      <c r="G33" s="357">
        <v>0</v>
      </c>
      <c r="H33" s="264"/>
      <c r="I33" s="308">
        <f>IF(B33&lt;&gt;0,((+C33+D33)/B33*100),(IF(C33&lt;&gt;0,1,0)))</f>
        <v>22.04579319247881</v>
      </c>
      <c r="J33" s="308">
        <f t="shared" si="4"/>
        <v>61.685248831133556</v>
      </c>
      <c r="K33" s="113">
        <f t="shared" si="4"/>
        <v>16.268957976387625</v>
      </c>
      <c r="L33" s="113">
        <f t="shared" si="4"/>
        <v>0</v>
      </c>
      <c r="M33" s="55"/>
      <c r="N33" s="70"/>
      <c r="Q33" s="71"/>
    </row>
    <row r="34" spans="1:14" ht="12.75">
      <c r="A34" s="110"/>
      <c r="B34" s="111"/>
      <c r="C34" s="82"/>
      <c r="D34" s="357"/>
      <c r="E34" s="232"/>
      <c r="F34" s="231"/>
      <c r="G34" s="357"/>
      <c r="H34" s="264"/>
      <c r="I34" s="308"/>
      <c r="J34" s="308"/>
      <c r="K34" s="113"/>
      <c r="L34" s="113"/>
      <c r="M34" s="55"/>
      <c r="N34" s="70"/>
    </row>
    <row r="35" spans="1:17" ht="12.75">
      <c r="A35" s="110" t="s">
        <v>21</v>
      </c>
      <c r="B35" s="111">
        <f t="shared" si="1"/>
        <v>53435554.76</v>
      </c>
      <c r="C35" s="357">
        <v>34329542</v>
      </c>
      <c r="D35" s="357">
        <v>868611.87</v>
      </c>
      <c r="E35" s="232">
        <f>state1!C36</f>
        <v>13948289.58</v>
      </c>
      <c r="F35" s="231">
        <f>fed1!B36-'table 6'!I36</f>
        <v>4287687.03</v>
      </c>
      <c r="G35" s="357">
        <v>1424.28</v>
      </c>
      <c r="H35" s="264"/>
      <c r="I35" s="308">
        <f>IF(B35&lt;&gt;0,((+C35+D35)/B35*100),(IF(C35&lt;&gt;0,1,0)))</f>
        <v>65.87028810328384</v>
      </c>
      <c r="J35" s="308">
        <f aca="true" t="shared" si="5" ref="J35:L38">IF($B35&lt;&gt;0,(E35/$B35*100),(IF(E35&lt;&gt;0,1,0)))</f>
        <v>26.103012577762563</v>
      </c>
      <c r="K35" s="113">
        <f t="shared" si="5"/>
        <v>8.024033902628469</v>
      </c>
      <c r="L35" s="113">
        <f t="shared" si="5"/>
        <v>0.0026654163251359497</v>
      </c>
      <c r="M35" s="55"/>
      <c r="N35" s="70"/>
      <c r="Q35" s="71"/>
    </row>
    <row r="36" spans="1:17" ht="12.75">
      <c r="A36" s="110" t="s">
        <v>22</v>
      </c>
      <c r="B36" s="111">
        <f t="shared" si="1"/>
        <v>275774752.78</v>
      </c>
      <c r="C36" s="357">
        <v>88817056.72</v>
      </c>
      <c r="D36" s="357">
        <v>1223825.57</v>
      </c>
      <c r="E36" s="232">
        <f>state1!C37</f>
        <v>154391058.08999997</v>
      </c>
      <c r="F36" s="231">
        <f>fed1!B37-'table 6'!I37</f>
        <v>30865920.13</v>
      </c>
      <c r="G36" s="357">
        <v>476892.26999999996</v>
      </c>
      <c r="H36" s="264"/>
      <c r="I36" s="308">
        <f>IF(B36&lt;&gt;0,((+C36+D36)/B36*100),(IF(C36&lt;&gt;0,1,0)))</f>
        <v>32.65015429524484</v>
      </c>
      <c r="J36" s="308">
        <f t="shared" si="5"/>
        <v>55.984478830506234</v>
      </c>
      <c r="K36" s="113">
        <f t="shared" si="5"/>
        <v>11.192438690942593</v>
      </c>
      <c r="L36" s="113">
        <f t="shared" si="5"/>
        <v>0.1729281833063384</v>
      </c>
      <c r="M36" s="55"/>
      <c r="N36" s="70"/>
      <c r="Q36" s="71"/>
    </row>
    <row r="37" spans="1:17" ht="12.75">
      <c r="A37" s="110" t="s">
        <v>23</v>
      </c>
      <c r="B37" s="111">
        <f t="shared" si="1"/>
        <v>191171825.03</v>
      </c>
      <c r="C37" s="357">
        <v>43196892</v>
      </c>
      <c r="D37" s="357">
        <v>1068309.41</v>
      </c>
      <c r="E37" s="232">
        <f>state1!C38</f>
        <v>123452738.56</v>
      </c>
      <c r="F37" s="231">
        <f>fed1!B38-'table 6'!I38</f>
        <v>21403442.54</v>
      </c>
      <c r="G37" s="357">
        <v>2050442.52</v>
      </c>
      <c r="H37" s="264"/>
      <c r="I37" s="308">
        <f>IF(B37&lt;&gt;0,((+C37+D37)/B37*100),(IF(C37&lt;&gt;0,1,0)))</f>
        <v>23.154668007722158</v>
      </c>
      <c r="J37" s="308">
        <f t="shared" si="5"/>
        <v>64.57684783865349</v>
      </c>
      <c r="K37" s="113">
        <f t="shared" si="5"/>
        <v>11.195918926149929</v>
      </c>
      <c r="L37" s="113">
        <f t="shared" si="5"/>
        <v>1.0725652274744097</v>
      </c>
      <c r="M37" s="55"/>
      <c r="N37" s="70"/>
      <c r="Q37" s="71"/>
    </row>
    <row r="38" spans="1:17" ht="12.75">
      <c r="A38" s="116" t="s">
        <v>24</v>
      </c>
      <c r="B38" s="117">
        <f t="shared" si="1"/>
        <v>107457829.79</v>
      </c>
      <c r="C38" s="359">
        <v>71339072</v>
      </c>
      <c r="D38" s="359">
        <v>756858.8699999999</v>
      </c>
      <c r="E38" s="234">
        <f>state1!C39</f>
        <v>24415173.45</v>
      </c>
      <c r="F38" s="234">
        <f>fed1!B39-'table 6'!I39</f>
        <v>10946725.469999999</v>
      </c>
      <c r="G38" s="359">
        <v>0</v>
      </c>
      <c r="H38" s="338"/>
      <c r="I38" s="341">
        <f>IF(B38&lt;&gt;0,((+C38+D38)/B38*100),(IF(C38&lt;&gt;0,1,0)))</f>
        <v>67.09230124123467</v>
      </c>
      <c r="J38" s="341">
        <f t="shared" si="5"/>
        <v>22.72070215610484</v>
      </c>
      <c r="K38" s="119">
        <f t="shared" si="5"/>
        <v>10.186996602660496</v>
      </c>
      <c r="L38" s="119">
        <f t="shared" si="5"/>
        <v>0</v>
      </c>
      <c r="M38" s="55"/>
      <c r="N38" s="70"/>
      <c r="Q38" s="71"/>
    </row>
    <row r="39" spans="1:17" ht="12.75">
      <c r="A39" s="101"/>
      <c r="B39" s="111"/>
      <c r="C39" s="162"/>
      <c r="D39" s="162"/>
      <c r="E39" s="112"/>
      <c r="F39" s="112"/>
      <c r="G39" s="162"/>
      <c r="H39" s="111"/>
      <c r="I39" s="113"/>
      <c r="J39" s="113"/>
      <c r="K39" s="113"/>
      <c r="L39" s="113"/>
      <c r="M39" s="55"/>
      <c r="N39" s="70"/>
      <c r="Q39" s="71"/>
    </row>
    <row r="40" spans="1:12" ht="12.75">
      <c r="A40" s="157" t="s">
        <v>222</v>
      </c>
      <c r="C40" s="110"/>
      <c r="D40" s="114"/>
      <c r="E40" s="110"/>
      <c r="F40" s="110"/>
      <c r="G40" s="110"/>
      <c r="H40" s="110"/>
      <c r="I40" s="164"/>
      <c r="J40" s="164"/>
      <c r="K40" s="164"/>
      <c r="L40" s="110"/>
    </row>
    <row r="41" spans="1:256" ht="12.75">
      <c r="A41" s="53" t="s">
        <v>276</v>
      </c>
      <c r="B41" s="53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12" ht="12.75">
      <c r="A42" s="52" t="s">
        <v>195</v>
      </c>
      <c r="C42" s="110"/>
      <c r="D42" s="114"/>
      <c r="E42" s="110"/>
      <c r="F42" s="110"/>
      <c r="G42" s="110"/>
      <c r="H42" s="110"/>
      <c r="I42" s="110"/>
      <c r="J42" s="110"/>
      <c r="K42" s="110"/>
      <c r="L42" s="110"/>
    </row>
    <row r="43" spans="1:12" ht="12.75">
      <c r="A43" s="121"/>
      <c r="C43" s="110"/>
      <c r="D43" s="114"/>
      <c r="E43" s="110"/>
      <c r="F43" s="110"/>
      <c r="G43" s="110"/>
      <c r="H43" s="110"/>
      <c r="I43" s="110"/>
      <c r="J43" s="110"/>
      <c r="K43" s="110"/>
      <c r="L43" s="110"/>
    </row>
    <row r="44" spans="1:12" ht="12.75">
      <c r="A44" s="121"/>
      <c r="C44" s="61"/>
      <c r="D44" s="114"/>
      <c r="E44" s="110"/>
      <c r="F44" s="110"/>
      <c r="G44" s="110"/>
      <c r="H44" s="110"/>
      <c r="I44" s="110"/>
      <c r="J44" s="110"/>
      <c r="K44" s="110"/>
      <c r="L44" s="110"/>
    </row>
    <row r="45" spans="3:12" ht="12.75">
      <c r="C45" s="217"/>
      <c r="D45" s="114"/>
      <c r="E45" s="110"/>
      <c r="F45" s="110"/>
      <c r="G45" s="110"/>
      <c r="H45" s="110"/>
      <c r="I45" s="110"/>
      <c r="J45" s="110"/>
      <c r="K45" s="110"/>
      <c r="L45" s="110"/>
    </row>
    <row r="46" spans="3:12" ht="12.75">
      <c r="C46" s="110"/>
      <c r="D46" s="114"/>
      <c r="E46" s="110"/>
      <c r="F46" s="110"/>
      <c r="G46" s="110"/>
      <c r="H46" s="110"/>
      <c r="I46" s="110"/>
      <c r="J46" s="110"/>
      <c r="K46" s="110"/>
      <c r="L46" s="110"/>
    </row>
    <row r="47" spans="3:12" ht="12.75">
      <c r="C47" s="110"/>
      <c r="D47" s="114"/>
      <c r="E47" s="110"/>
      <c r="F47" s="110"/>
      <c r="G47" s="110"/>
      <c r="H47" s="110"/>
      <c r="I47" s="110"/>
      <c r="J47" s="110"/>
      <c r="K47" s="110"/>
      <c r="L47" s="110"/>
    </row>
  </sheetData>
  <sheetProtection password="CAF5" sheet="1" objects="1" scenarios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87" r:id="rId1"/>
  <headerFooter alignWithMargins="0">
    <oddFooter>&amp;L&amp;"Arial,Italic"&amp;9MSDE - LFRO  11 /2012
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D1">
      <selection activeCell="C10" sqref="C10"/>
    </sheetView>
  </sheetViews>
  <sheetFormatPr defaultColWidth="9.140625" defaultRowHeight="12.75"/>
  <cols>
    <col min="1" max="1" width="14.140625" style="0" customWidth="1"/>
    <col min="2" max="2" width="16.421875" style="0" customWidth="1"/>
    <col min="3" max="3" width="16.140625" style="0" customWidth="1"/>
    <col min="4" max="4" width="14.57421875" style="0" customWidth="1"/>
    <col min="5" max="5" width="15.28125" style="0" customWidth="1"/>
    <col min="6" max="6" width="2.7109375" style="0" customWidth="1"/>
    <col min="7" max="7" width="13.00390625" style="0" customWidth="1"/>
    <col min="8" max="8" width="11.7109375" style="0" customWidth="1"/>
    <col min="9" max="9" width="12.7109375" style="0" customWidth="1"/>
    <col min="10" max="10" width="13.140625" style="0" customWidth="1"/>
  </cols>
  <sheetData>
    <row r="1" spans="1:10" ht="12.75">
      <c r="A1" s="432" t="s">
        <v>106</v>
      </c>
      <c r="B1" s="432"/>
      <c r="C1" s="432"/>
      <c r="D1" s="432"/>
      <c r="E1" s="432"/>
      <c r="F1" s="432"/>
      <c r="G1" s="432"/>
      <c r="H1" s="432"/>
      <c r="I1" s="432"/>
      <c r="J1" s="432"/>
    </row>
    <row r="3" spans="1:10" ht="12.75">
      <c r="A3" s="432" t="s">
        <v>220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ht="12.75">
      <c r="A4" s="464" t="s">
        <v>271</v>
      </c>
      <c r="B4" s="432"/>
      <c r="C4" s="432"/>
      <c r="D4" s="432"/>
      <c r="E4" s="432"/>
      <c r="F4" s="432"/>
      <c r="G4" s="432"/>
      <c r="H4" s="432"/>
      <c r="I4" s="432"/>
      <c r="J4" s="432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 thickTop="1">
      <c r="A6" s="3"/>
      <c r="B6" s="519" t="s">
        <v>172</v>
      </c>
      <c r="C6" s="519"/>
      <c r="D6" s="519"/>
      <c r="E6" s="519"/>
      <c r="F6" s="215"/>
      <c r="G6" s="466" t="s">
        <v>173</v>
      </c>
      <c r="H6" s="466"/>
      <c r="I6" s="466"/>
      <c r="J6" s="466"/>
    </row>
    <row r="7" spans="1:10" ht="12.75">
      <c r="A7" s="3" t="s">
        <v>77</v>
      </c>
      <c r="B7" s="4"/>
      <c r="C7" s="81" t="s">
        <v>109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 ht="12.75">
      <c r="A8" s="3" t="s">
        <v>33</v>
      </c>
      <c r="B8" s="4" t="s">
        <v>108</v>
      </c>
      <c r="C8" s="80" t="s">
        <v>58</v>
      </c>
      <c r="D8" s="4" t="s">
        <v>39</v>
      </c>
      <c r="E8" s="4" t="s">
        <v>41</v>
      </c>
      <c r="F8" s="4"/>
      <c r="G8" s="4" t="s">
        <v>108</v>
      </c>
      <c r="H8" s="4" t="s">
        <v>109</v>
      </c>
      <c r="I8" s="4" t="s">
        <v>39</v>
      </c>
      <c r="J8" s="4" t="s">
        <v>41</v>
      </c>
    </row>
    <row r="9" spans="1:10" ht="13.5" thickBot="1">
      <c r="A9" s="7" t="s">
        <v>132</v>
      </c>
      <c r="B9" s="8" t="s">
        <v>45</v>
      </c>
      <c r="C9" s="210"/>
      <c r="D9" s="8" t="s">
        <v>40</v>
      </c>
      <c r="E9" s="8" t="s">
        <v>38</v>
      </c>
      <c r="F9" s="8"/>
      <c r="G9" s="8" t="s">
        <v>45</v>
      </c>
      <c r="H9" s="8" t="s">
        <v>116</v>
      </c>
      <c r="I9" s="8" t="s">
        <v>40</v>
      </c>
      <c r="J9" s="8" t="s">
        <v>38</v>
      </c>
    </row>
    <row r="10" spans="1:10" ht="12.75">
      <c r="A10" s="3" t="s">
        <v>0</v>
      </c>
      <c r="B10" s="10">
        <f>SUM(B12:B39)</f>
        <v>6288481429.09</v>
      </c>
      <c r="C10" s="10">
        <f>SUM(C12:C39)</f>
        <v>5322288281.660001</v>
      </c>
      <c r="D10" s="10">
        <f>SUM(D12:D39)</f>
        <v>447347416.46999997</v>
      </c>
      <c r="E10" s="10">
        <f>SUM(E12:E39)</f>
        <v>518845730.96000004</v>
      </c>
      <c r="F10" s="10"/>
      <c r="G10" s="37">
        <f>+B10/(table11!$B9*1000)</f>
        <v>0.008317039753238355</v>
      </c>
      <c r="H10" s="37">
        <f>+C10/(table11!$B9*1000)</f>
        <v>0.007039168949754938</v>
      </c>
      <c r="I10" s="37">
        <f>+D10/(table11!$B9*1000)</f>
        <v>0.0005916541677420315</v>
      </c>
      <c r="J10" s="37">
        <f>+E10/(table11!$B9*1000)</f>
        <v>0.0006862166357413876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29005829.47</v>
      </c>
      <c r="C12" s="40">
        <f>'table 2a'!C11</f>
        <v>28240000</v>
      </c>
      <c r="D12" s="2">
        <f>+table4!$C11</f>
        <v>765829.47</v>
      </c>
      <c r="E12" s="2">
        <f>+table5!$C11</f>
        <v>0</v>
      </c>
      <c r="F12" s="2"/>
      <c r="G12" s="36">
        <f>+B12/(table11!$B11*1000)*100</f>
        <v>0.7233175516382344</v>
      </c>
      <c r="H12" s="36">
        <f>+C12/(table11!$B11*1000)*100</f>
        <v>0.7042200837383513</v>
      </c>
      <c r="I12" s="36">
        <f>+D12/(table11!$B11*1000)*100</f>
        <v>0.019097467899883043</v>
      </c>
      <c r="J12" s="36">
        <f>+E12/(table11!$B11*1000)*100</f>
        <v>0</v>
      </c>
    </row>
    <row r="13" spans="1:10" ht="12.75">
      <c r="A13" s="3" t="s">
        <v>2</v>
      </c>
      <c r="B13" s="1">
        <f t="shared" si="0"/>
        <v>631067806</v>
      </c>
      <c r="C13" s="40">
        <f>'table 2a'!C12</f>
        <v>562363651</v>
      </c>
      <c r="D13" s="2">
        <f>+table4!$C12</f>
        <v>27772427</v>
      </c>
      <c r="E13" s="2">
        <f>+table5!$C12</f>
        <v>40931728</v>
      </c>
      <c r="F13" s="2"/>
      <c r="G13" s="36">
        <f>+B13/(table11!$B12*1000)*100</f>
        <v>0.7425391231654033</v>
      </c>
      <c r="H13" s="36">
        <f>+C13/(table11!$B12*1000)*100</f>
        <v>0.6616991206704576</v>
      </c>
      <c r="I13" s="36">
        <f>+D13/(table11!$B12*1000)*100</f>
        <v>0.032678126497163076</v>
      </c>
      <c r="J13" s="36">
        <f>+E13/(table11!$B12*1000)*100</f>
        <v>0.0481618759977827</v>
      </c>
    </row>
    <row r="14" spans="1:10" ht="12.75">
      <c r="A14" s="3" t="s">
        <v>3</v>
      </c>
      <c r="B14" s="1">
        <f t="shared" si="0"/>
        <v>251685649.89</v>
      </c>
      <c r="C14" s="40">
        <f>'table 2a'!C13</f>
        <v>229660213.81</v>
      </c>
      <c r="D14" s="2">
        <f>+table4!$C13</f>
        <v>13612463.89</v>
      </c>
      <c r="E14" s="2">
        <f>+table5!$C13</f>
        <v>8412972.19</v>
      </c>
      <c r="F14" s="2"/>
      <c r="G14" s="36">
        <f>+B14/(table11!$B13*1000)*100</f>
        <v>0.642887703286194</v>
      </c>
      <c r="H14" s="36">
        <f>+C14/(table11!$B13*1000)*100</f>
        <v>0.5866275151446108</v>
      </c>
      <c r="I14" s="36">
        <f>+D14/(table11!$B13*1000)*100</f>
        <v>0.0347706976942592</v>
      </c>
      <c r="J14" s="36">
        <f>+E14/(table11!$B13*1000)*100</f>
        <v>0.021489490447324136</v>
      </c>
    </row>
    <row r="15" spans="1:10" ht="12.75">
      <c r="A15" s="3" t="s">
        <v>4</v>
      </c>
      <c r="B15" s="1">
        <f t="shared" si="0"/>
        <v>768781346</v>
      </c>
      <c r="C15" s="40">
        <f>'table 2a'!C14</f>
        <v>663192510</v>
      </c>
      <c r="D15" s="2">
        <f>+table4!$C14</f>
        <v>74160817</v>
      </c>
      <c r="E15" s="2">
        <f>+table5!$C14</f>
        <v>31428019</v>
      </c>
      <c r="F15" s="2"/>
      <c r="G15" s="36">
        <f>+B15/(table11!$B14*1000)*100</f>
        <v>0.8599629126402235</v>
      </c>
      <c r="H15" s="36">
        <f>+C15/(table11!$B14*1000)*100</f>
        <v>0.7418506777098368</v>
      </c>
      <c r="I15" s="36">
        <f>+D15/(table11!$B14*1000)*100</f>
        <v>0.08295668530841095</v>
      </c>
      <c r="J15" s="36">
        <f>+E15/(table11!$B14*1000)*100</f>
        <v>0.035155549621975715</v>
      </c>
    </row>
    <row r="16" spans="1:10" ht="12.75">
      <c r="A16" s="3" t="s">
        <v>5</v>
      </c>
      <c r="B16" s="1">
        <f t="shared" si="0"/>
        <v>122200485.52</v>
      </c>
      <c r="C16" s="40">
        <f>'table 2a'!C15</f>
        <v>105010110</v>
      </c>
      <c r="D16" s="2">
        <f>+table4!$C15</f>
        <v>11236398.52</v>
      </c>
      <c r="E16" s="2">
        <f>+table5!$C15</f>
        <v>5953977</v>
      </c>
      <c r="F16" s="2"/>
      <c r="G16" s="36">
        <f>+B16/(table11!$B15*1000)*100</f>
        <v>0.8599817090639953</v>
      </c>
      <c r="H16" s="36">
        <f>+C16/(table11!$B15*1000)*100</f>
        <v>0.7390050332657478</v>
      </c>
      <c r="I16" s="36">
        <f>+D16/(table11!$B15*1000)*100</f>
        <v>0.07907576767665322</v>
      </c>
      <c r="J16" s="36">
        <f>+E16/(table11!$B15*1000)*100</f>
        <v>0.04190090812159418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12415902</v>
      </c>
      <c r="C18" s="40">
        <f>'table 2a'!C17</f>
        <v>12415902</v>
      </c>
      <c r="D18" s="2">
        <f>+table4!$C17</f>
        <v>0</v>
      </c>
      <c r="E18" s="2">
        <f>+table5!$C17</f>
        <v>0</v>
      </c>
      <c r="F18" s="2"/>
      <c r="G18" s="36">
        <f>+B18/(table11!$B17*1000)*100</f>
        <v>0.39010754120653396</v>
      </c>
      <c r="H18" s="36">
        <f>+C18/(table11!$B17*1000)*100</f>
        <v>0.39010754120653396</v>
      </c>
      <c r="I18" s="36">
        <f>+D18/(table11!$B17*1000)*100</f>
        <v>0</v>
      </c>
      <c r="J18" s="36">
        <f>+E18/(table11!$B17*1000)*100</f>
        <v>0</v>
      </c>
    </row>
    <row r="19" spans="1:10" ht="12.75">
      <c r="A19" s="3" t="s">
        <v>7</v>
      </c>
      <c r="B19" s="1">
        <f t="shared" si="0"/>
        <v>178466589.49</v>
      </c>
      <c r="C19" s="40">
        <f>'table 2a'!C18</f>
        <v>166780244</v>
      </c>
      <c r="D19" s="2">
        <f>+table4!$C18</f>
        <v>0</v>
      </c>
      <c r="E19" s="2">
        <f>+table5!$C18</f>
        <v>11686345.49</v>
      </c>
      <c r="F19" s="2"/>
      <c r="G19" s="36">
        <f>+B19/(table11!$B18*1000)*100</f>
        <v>0.8532943470882561</v>
      </c>
      <c r="H19" s="36">
        <f>+C19/(table11!$B18*1000)*100</f>
        <v>0.7974189444527612</v>
      </c>
      <c r="I19" s="36">
        <f>+D19/(table11!$B18*1000)*100</f>
        <v>0</v>
      </c>
      <c r="J19" s="36">
        <f>+E19/(table11!$B18*1000)*100</f>
        <v>0.05587540263549492</v>
      </c>
    </row>
    <row r="20" spans="1:10" ht="12.75">
      <c r="A20" s="3" t="s">
        <v>8</v>
      </c>
      <c r="B20" s="1">
        <f t="shared" si="0"/>
        <v>72619884.72</v>
      </c>
      <c r="C20" s="40">
        <f>'table 2a'!C19</f>
        <v>68350618</v>
      </c>
      <c r="D20" s="2">
        <f>+table4!$C19</f>
        <v>4269266.72</v>
      </c>
      <c r="E20" s="2">
        <f>+table5!$C19</f>
        <v>0</v>
      </c>
      <c r="F20" s="2"/>
      <c r="G20" s="36">
        <f>+B20/(table11!$B19*1000)*100</f>
        <v>0.6561796254366782</v>
      </c>
      <c r="H20" s="36">
        <f>+C20/(table11!$B19*1000)*100</f>
        <v>0.6176033339977667</v>
      </c>
      <c r="I20" s="36">
        <f>+D20/(table11!$B19*1000)*100</f>
        <v>0.038576291438911496</v>
      </c>
      <c r="J20" s="36">
        <f>+E20/(table11!$B19*1000)*100</f>
        <v>0</v>
      </c>
    </row>
    <row r="21" spans="1:10" ht="12.75">
      <c r="A21" s="3" t="s">
        <v>198</v>
      </c>
      <c r="B21" s="1">
        <f t="shared" si="0"/>
        <v>165173144.83</v>
      </c>
      <c r="C21" s="40">
        <f>'table 2a'!C20</f>
        <v>145296600</v>
      </c>
      <c r="D21" s="2">
        <f>+table4!$C20</f>
        <v>5136439.83</v>
      </c>
      <c r="E21" s="2">
        <f>+table5!$C20</f>
        <v>14740105</v>
      </c>
      <c r="F21" s="2"/>
      <c r="G21" s="36">
        <f>+B21/(table11!$B20*1000)*100</f>
        <v>0.8788281253591438</v>
      </c>
      <c r="H21" s="36">
        <f>+C21/(table11!$B20*1000)*100</f>
        <v>0.7730720313552158</v>
      </c>
      <c r="I21" s="36">
        <f>+D21/(table11!$B20*1000)*100</f>
        <v>0.027329187147613496</v>
      </c>
      <c r="J21" s="36">
        <f>+E21/(table11!$B20*1000)*100</f>
        <v>0.07842690685631441</v>
      </c>
    </row>
    <row r="22" spans="1:10" ht="12.75">
      <c r="A22" s="3" t="s">
        <v>10</v>
      </c>
      <c r="B22" s="1">
        <f t="shared" si="0"/>
        <v>25873707</v>
      </c>
      <c r="C22" s="40">
        <f>'table 2a'!C21</f>
        <v>17389545</v>
      </c>
      <c r="D22" s="2">
        <f>+table4!$C21</f>
        <v>6135272</v>
      </c>
      <c r="E22" s="2">
        <f>+table5!$C21</f>
        <v>2348890</v>
      </c>
      <c r="F22" s="2"/>
      <c r="G22" s="36">
        <f>+B22/(table11!$B21*1000)*100</f>
        <v>0.7300035888346614</v>
      </c>
      <c r="H22" s="36">
        <f>+C22/(table11!$B21*1000)*100</f>
        <v>0.490630517621686</v>
      </c>
      <c r="I22" s="36">
        <f>+D22/(table11!$B21*1000)*100</f>
        <v>0.17310123278727746</v>
      </c>
      <c r="J22" s="36">
        <f>+E22/(table11!$B21*1000)*100</f>
        <v>0.06627183842569787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260556446</v>
      </c>
      <c r="C24" s="40">
        <f>'table 2a'!C23</f>
        <v>223501991</v>
      </c>
      <c r="D24" s="2">
        <f>+table4!$C23</f>
        <v>7790715</v>
      </c>
      <c r="E24" s="2">
        <f>+table5!$C23</f>
        <v>29263740</v>
      </c>
      <c r="F24" s="2"/>
      <c r="G24" s="36">
        <f>+B24/(table11!$B23*1000)*100</f>
        <v>0.8754767114003871</v>
      </c>
      <c r="H24" s="36">
        <f>+C24/(table11!$B23*1000)*100</f>
        <v>0.7509727395963902</v>
      </c>
      <c r="I24" s="36">
        <f>+D24/(table11!$B23*1000)*100</f>
        <v>0.026177013282019</v>
      </c>
      <c r="J24" s="36">
        <f>+E24/(table11!$B23*1000)*100</f>
        <v>0.09832695852197786</v>
      </c>
    </row>
    <row r="25" spans="1:10" ht="12.75">
      <c r="A25" s="3" t="s">
        <v>12</v>
      </c>
      <c r="B25" s="1">
        <f t="shared" si="0"/>
        <v>23494333.580000002</v>
      </c>
      <c r="C25" s="40">
        <f>'table 2a'!C24</f>
        <v>23386980.76</v>
      </c>
      <c r="D25" s="2">
        <f>+table4!$C24</f>
        <v>107352.82</v>
      </c>
      <c r="E25" s="2">
        <f>+table5!$C24</f>
        <v>0</v>
      </c>
      <c r="F25" s="2"/>
      <c r="G25" s="36">
        <f>+B25/(table11!$B24*1000)*100</f>
        <v>0.4721578452673048</v>
      </c>
      <c r="H25" s="36">
        <f>+C25/(table11!$B24*1000)*100</f>
        <v>0.4700004111778477</v>
      </c>
      <c r="I25" s="36">
        <f>+D25/(table11!$B24*1000)*100</f>
        <v>0.0021574340894571064</v>
      </c>
      <c r="J25" s="36">
        <f>+E25/(table11!$B24*1000)*100</f>
        <v>0</v>
      </c>
    </row>
    <row r="26" spans="1:10" ht="12.75">
      <c r="A26" s="3" t="s">
        <v>13</v>
      </c>
      <c r="B26" s="1">
        <f t="shared" si="0"/>
        <v>264077211.28</v>
      </c>
      <c r="C26" s="40">
        <f>'table 2a'!C25</f>
        <v>211067388</v>
      </c>
      <c r="D26" s="2">
        <f>+table4!$C25</f>
        <v>30433302</v>
      </c>
      <c r="E26" s="2">
        <f>+table5!$C25</f>
        <v>22576521.28</v>
      </c>
      <c r="F26" s="2"/>
      <c r="G26" s="36">
        <f>+B26/(table11!$B25*1000)*100</f>
        <v>0.9239736762689963</v>
      </c>
      <c r="H26" s="36">
        <f>+C26/(table11!$B25*1000)*100</f>
        <v>0.7384988257244014</v>
      </c>
      <c r="I26" s="36">
        <f>+D26/(table11!$B25*1000)*100</f>
        <v>0.10648237988294088</v>
      </c>
      <c r="J26" s="36">
        <f>+E26/(table11!$B25*1000)*100</f>
        <v>0.07899247066165409</v>
      </c>
    </row>
    <row r="27" spans="1:10" ht="12.75">
      <c r="A27" s="3" t="s">
        <v>14</v>
      </c>
      <c r="B27" s="1">
        <f t="shared" si="0"/>
        <v>560959196</v>
      </c>
      <c r="C27" s="40">
        <f>'table 2a'!C26</f>
        <v>464708788</v>
      </c>
      <c r="D27" s="2">
        <f>+table4!$C26</f>
        <v>57133848</v>
      </c>
      <c r="E27" s="2">
        <f>+table5!$C26</f>
        <v>39116560</v>
      </c>
      <c r="F27" s="2"/>
      <c r="G27" s="36">
        <f>+B27/(table11!$B26*1000)*100</f>
        <v>1.1676120974577842</v>
      </c>
      <c r="H27" s="36">
        <f>+C27/(table11!$B26*1000)*100</f>
        <v>0.9672710716444779</v>
      </c>
      <c r="I27" s="36">
        <f>+D27/(table11!$B26*1000)*100</f>
        <v>0.11892161243598584</v>
      </c>
      <c r="J27" s="36">
        <f>+E27/(table11!$B26*1000)*100</f>
        <v>0.08141941337732034</v>
      </c>
    </row>
    <row r="28" spans="1:10" ht="12.75">
      <c r="A28" s="3" t="s">
        <v>15</v>
      </c>
      <c r="B28" s="1">
        <f t="shared" si="0"/>
        <v>17119319</v>
      </c>
      <c r="C28" s="40">
        <f>'table 2a'!C27</f>
        <v>17119319</v>
      </c>
      <c r="D28" s="2">
        <f>+table4!$C27</f>
        <v>0</v>
      </c>
      <c r="E28" s="2">
        <f>+table5!$C27</f>
        <v>0</v>
      </c>
      <c r="F28" s="2"/>
      <c r="G28" s="36">
        <f>+B28/(table11!$B27*1000)*100</f>
        <v>0.5215701286854874</v>
      </c>
      <c r="H28" s="36">
        <f>+C28/(table11!$B27*1000)*100</f>
        <v>0.5215701286854874</v>
      </c>
      <c r="I28" s="36">
        <f>+D28/(table11!$B27*1000)*100</f>
        <v>0</v>
      </c>
      <c r="J28" s="36">
        <f>+E28/(table11!$B27*1000)*100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1782925904.64</v>
      </c>
      <c r="C30" s="40">
        <f>'table 2a'!C29</f>
        <v>1415260320.64</v>
      </c>
      <c r="D30" s="2">
        <f>+table4!$C29</f>
        <v>149126292</v>
      </c>
      <c r="E30" s="2">
        <f>+table5!$C29</f>
        <v>218539292</v>
      </c>
      <c r="F30" s="2"/>
      <c r="G30" s="36">
        <f>+B30/(table11!$B29*1000)*100</f>
        <v>0.9948191563396604</v>
      </c>
      <c r="H30" s="36">
        <f>+C30/(table11!$B29*1000)*100</f>
        <v>0.7896727926359701</v>
      </c>
      <c r="I30" s="36">
        <f>+D30/(table11!$B29*1000)*100</f>
        <v>0.08320799625459294</v>
      </c>
      <c r="J30" s="36">
        <f>+E30/(table11!$B30*1000)*100</f>
        <v>0.2206578411725683</v>
      </c>
    </row>
    <row r="31" spans="1:10" ht="12.75">
      <c r="A31" s="3" t="s">
        <v>17</v>
      </c>
      <c r="B31" s="1">
        <f t="shared" si="0"/>
        <v>689293443.73</v>
      </c>
      <c r="C31" s="40">
        <f>'table 2a'!C30</f>
        <v>598152975.73</v>
      </c>
      <c r="D31" s="2">
        <f>+table4!$C30</f>
        <v>37240956</v>
      </c>
      <c r="E31" s="2">
        <f>+table5!$C30</f>
        <v>53899512</v>
      </c>
      <c r="F31" s="2"/>
      <c r="G31" s="36">
        <f>+B31/(table11!$B30*1000)*100</f>
        <v>0.6959755467125197</v>
      </c>
      <c r="H31" s="36">
        <f>+C31/(table11!$B30*1000)*100</f>
        <v>0.6039515508063852</v>
      </c>
      <c r="I31" s="36">
        <f>+D31/(table11!$B30*1000)*100</f>
        <v>0.037601974816330076</v>
      </c>
      <c r="J31" s="36">
        <f>+E31/(table11!$B30*1000)*100</f>
        <v>0.05442202108980448</v>
      </c>
    </row>
    <row r="32" spans="1:10" ht="12.75">
      <c r="A32" s="3" t="s">
        <v>18</v>
      </c>
      <c r="B32" s="1">
        <f t="shared" si="0"/>
        <v>61971306.95</v>
      </c>
      <c r="C32" s="40">
        <f>'table 2a'!C31</f>
        <v>47957462</v>
      </c>
      <c r="D32" s="2">
        <f>+table4!$C31</f>
        <v>7302309.95</v>
      </c>
      <c r="E32" s="2">
        <f>+table5!$C31</f>
        <v>6711535</v>
      </c>
      <c r="F32" s="2"/>
      <c r="G32" s="36">
        <f>+B32/(table11!$B31*1000)*100</f>
        <v>0.7083047055265576</v>
      </c>
      <c r="H32" s="36">
        <f>+C32/(table11!$B31*1000)*100</f>
        <v>0.5481326386599803</v>
      </c>
      <c r="I32" s="36">
        <f>+D32/(table11!$B31*1000)*100</f>
        <v>0.08346218198966676</v>
      </c>
      <c r="J32" s="36">
        <f>+E32/(table11!$B31*1000)*100</f>
        <v>0.07670988487691051</v>
      </c>
    </row>
    <row r="33" spans="1:10" ht="12.75">
      <c r="A33" s="3" t="s">
        <v>19</v>
      </c>
      <c r="B33" s="1">
        <f t="shared" si="0"/>
        <v>86986699.41</v>
      </c>
      <c r="C33" s="40">
        <f>'table 2a'!C32</f>
        <v>76000000</v>
      </c>
      <c r="D33" s="2">
        <f>+table4!$C32</f>
        <v>3685300.41</v>
      </c>
      <c r="E33" s="2">
        <f>+table5!$C32</f>
        <v>7301399</v>
      </c>
      <c r="F33" s="2"/>
      <c r="G33" s="36">
        <f>+B33/(table11!$B32*1000)*100</f>
        <v>0.6598521539046919</v>
      </c>
      <c r="H33" s="36">
        <f>+C33/(table11!$B32*1000)*100</f>
        <v>0.5765107083829815</v>
      </c>
      <c r="I33" s="36">
        <f>+D33/(table11!$B32*1000)*100</f>
        <v>0.027955462499647265</v>
      </c>
      <c r="J33" s="36">
        <f>+E33/(table11!$B32*1000)*100</f>
        <v>0.05538598302206306</v>
      </c>
    </row>
    <row r="34" spans="1:10" ht="12.75">
      <c r="A34" s="3" t="s">
        <v>20</v>
      </c>
      <c r="B34" s="1">
        <f t="shared" si="0"/>
        <v>10971780</v>
      </c>
      <c r="C34" s="40">
        <f>'table 2a'!C33</f>
        <v>8751100</v>
      </c>
      <c r="D34" s="2">
        <f>+table4!$C33</f>
        <v>2220680</v>
      </c>
      <c r="E34" s="2">
        <f>+table5!$C33</f>
        <v>0</v>
      </c>
      <c r="F34" s="2"/>
      <c r="G34" s="36">
        <f>+B34/(table11!$B33*1000)*100</f>
        <v>0.620153119621525</v>
      </c>
      <c r="H34" s="36">
        <f>+C34/(table11!$B33*1000)*100</f>
        <v>0.4946345957647644</v>
      </c>
      <c r="I34" s="36">
        <f>+D34/(table11!$B33*1000)*100</f>
        <v>0.12551852385676052</v>
      </c>
      <c r="J34" s="36">
        <f>+E34/(table11!$B33*1000)*100</f>
        <v>0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35019764.34</v>
      </c>
      <c r="C36" s="40">
        <f>'table 2a'!C35</f>
        <v>34329542</v>
      </c>
      <c r="D36" s="2">
        <f>+table4!$C35</f>
        <v>690222.34</v>
      </c>
      <c r="E36" s="2">
        <f>+table5!$C35</f>
        <v>0</v>
      </c>
      <c r="F36" s="2"/>
      <c r="G36" s="36">
        <f>+B36/(table11!$B35*1000)*100</f>
        <v>0.345534823721293</v>
      </c>
      <c r="H36" s="36">
        <f>+C36/(table11!$B35*1000)*100</f>
        <v>0.3387245022049947</v>
      </c>
      <c r="I36" s="36">
        <f>+D36/(table11!$B35*1000)*100</f>
        <v>0.006810321516298312</v>
      </c>
      <c r="J36" s="36">
        <f>+E36/(table11!$B35*1000)*100</f>
        <v>0</v>
      </c>
    </row>
    <row r="37" spans="1:10" ht="12.75">
      <c r="A37" s="3" t="s">
        <v>22</v>
      </c>
      <c r="B37" s="1">
        <f t="shared" si="0"/>
        <v>94634854.72</v>
      </c>
      <c r="C37" s="40">
        <f>'table 2a'!C36</f>
        <v>88817056.72</v>
      </c>
      <c r="D37" s="2">
        <f>+table4!$C36</f>
        <v>0</v>
      </c>
      <c r="E37" s="2">
        <f>+table5!$C36</f>
        <v>5817798</v>
      </c>
      <c r="F37" s="2"/>
      <c r="G37" s="36">
        <f>+B37/(table11!$B36*1000)*100</f>
        <v>0.6654473264952512</v>
      </c>
      <c r="H37" s="36">
        <f>+C37/(table11!$B36*1000)*100</f>
        <v>0.6245381061382907</v>
      </c>
      <c r="I37" s="36">
        <f>+D37/(table11!$B36*1000)*100</f>
        <v>0</v>
      </c>
      <c r="J37" s="36">
        <f>+E37/(table11!$B36*1000)*100</f>
        <v>0.04090922035696046</v>
      </c>
    </row>
    <row r="38" spans="1:10" ht="12.75">
      <c r="A38" s="3" t="s">
        <v>23</v>
      </c>
      <c r="B38" s="1">
        <f t="shared" si="0"/>
        <v>54129826</v>
      </c>
      <c r="C38" s="40">
        <f>'table 2a'!C37</f>
        <v>43196892</v>
      </c>
      <c r="D38" s="2">
        <f>+table4!$C37</f>
        <v>0</v>
      </c>
      <c r="E38" s="2">
        <f>+table5!$C37</f>
        <v>10932934</v>
      </c>
      <c r="F38" s="2"/>
      <c r="G38" s="36">
        <f>+B38/(table11!$B37*1000)*100</f>
        <v>0.7033531458749758</v>
      </c>
      <c r="H38" s="36">
        <f>+C38/(table11!$B37*1000)*100</f>
        <v>0.5612925835051008</v>
      </c>
      <c r="I38" s="36">
        <f>+D38/(table11!$B37*1000)*100</f>
        <v>0</v>
      </c>
      <c r="J38" s="36">
        <f>+E38/(table11!$B37*1000)*100</f>
        <v>0.14206056236987502</v>
      </c>
    </row>
    <row r="39" spans="1:10" ht="12.75">
      <c r="A39" s="12" t="s">
        <v>24</v>
      </c>
      <c r="B39" s="14">
        <f t="shared" si="0"/>
        <v>89050998.52</v>
      </c>
      <c r="C39" s="41">
        <f>'table 2a'!C38</f>
        <v>71339072</v>
      </c>
      <c r="D39" s="13">
        <f>+table4!$C38</f>
        <v>8527523.52</v>
      </c>
      <c r="E39" s="13">
        <f>+table5!$C38</f>
        <v>9184403</v>
      </c>
      <c r="F39" s="13"/>
      <c r="G39" s="35">
        <f>+B39/(table11!$B38*1000)*100</f>
        <v>0.4898206375594544</v>
      </c>
      <c r="H39" s="35">
        <f>+C39/(table11!$B38*1000)*100</f>
        <v>0.39239705686278054</v>
      </c>
      <c r="I39" s="35">
        <f>+D39/(table11!$B38*1000)*100</f>
        <v>0.046905223712135444</v>
      </c>
      <c r="J39" s="35">
        <f>+E39/(table11!$B38*1000)*100</f>
        <v>0.05051835698453845</v>
      </c>
    </row>
    <row r="40" spans="1:10" ht="12.75">
      <c r="A40" s="57"/>
      <c r="B40" s="1"/>
      <c r="G40" s="36"/>
      <c r="H40" s="36"/>
      <c r="I40" s="36"/>
      <c r="J40" s="36"/>
    </row>
    <row r="41" ht="12.75">
      <c r="A41" s="66"/>
    </row>
  </sheetData>
  <sheetProtection password="CAF5" sheet="1" objects="1" scenarios="1"/>
  <mergeCells count="5">
    <mergeCell ref="G6:J6"/>
    <mergeCell ref="A1:J1"/>
    <mergeCell ref="A3:J3"/>
    <mergeCell ref="A4:J4"/>
    <mergeCell ref="B6:E6"/>
  </mergeCells>
  <printOptions horizontalCentered="1"/>
  <pageMargins left="0.61" right="0.69" top="0.83" bottom="1" header="0.67" footer="0.5"/>
  <pageSetup fitToHeight="1" fitToWidth="1" horizontalDpi="600" verticalDpi="600" orientation="landscape" scale="97" r:id="rId1"/>
  <headerFooter alignWithMargins="0">
    <oddHeader>&amp;R
</oddHeader>
    <oddFooter>&amp;L&amp;"Arial,Italic"&amp;9MSDE - LFRO  11 / 2012&amp;C- 20 -&amp;R&amp;"Arial,Italic"&amp;9Selected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4.28125" style="0" bestFit="1" customWidth="1"/>
    <col min="2" max="3" width="15.00390625" style="0" bestFit="1" customWidth="1"/>
    <col min="4" max="5" width="13.421875" style="0" bestFit="1" customWidth="1"/>
    <col min="6" max="6" width="4.7109375" style="0" customWidth="1"/>
    <col min="7" max="7" width="11.7109375" style="0" customWidth="1"/>
    <col min="8" max="8" width="11.421875" style="0" customWidth="1"/>
    <col min="9" max="9" width="11.140625" style="0" customWidth="1"/>
    <col min="10" max="10" width="12.7109375" style="0" customWidth="1"/>
  </cols>
  <sheetData>
    <row r="1" spans="1:10" ht="12.75">
      <c r="A1" s="432" t="s">
        <v>221</v>
      </c>
      <c r="B1" s="432"/>
      <c r="C1" s="432"/>
      <c r="D1" s="432"/>
      <c r="E1" s="432"/>
      <c r="F1" s="432"/>
      <c r="G1" s="432"/>
      <c r="H1" s="432"/>
      <c r="I1" s="432"/>
      <c r="J1" s="432"/>
    </row>
    <row r="3" spans="1:10" ht="12.75">
      <c r="A3" s="432" t="s">
        <v>220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ht="12.75">
      <c r="A4" s="464" t="s">
        <v>271</v>
      </c>
      <c r="B4" s="432"/>
      <c r="C4" s="432"/>
      <c r="D4" s="432"/>
      <c r="E4" s="432"/>
      <c r="F4" s="432"/>
      <c r="G4" s="432"/>
      <c r="H4" s="432"/>
      <c r="I4" s="432"/>
      <c r="J4" s="432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519" t="s">
        <v>172</v>
      </c>
      <c r="C6" s="519"/>
      <c r="D6" s="519"/>
      <c r="E6" s="519"/>
      <c r="F6" s="215"/>
      <c r="G6" s="466" t="s">
        <v>219</v>
      </c>
      <c r="H6" s="466"/>
      <c r="I6" s="466"/>
      <c r="J6" s="466"/>
    </row>
    <row r="7" spans="1:10" ht="12.75">
      <c r="A7" s="3" t="s">
        <v>77</v>
      </c>
      <c r="B7" s="4"/>
      <c r="C7" s="81" t="s">
        <v>109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 ht="12.75">
      <c r="A8" s="3" t="s">
        <v>33</v>
      </c>
      <c r="B8" s="4" t="s">
        <v>108</v>
      </c>
      <c r="C8" s="80" t="s">
        <v>58</v>
      </c>
      <c r="D8" s="4" t="s">
        <v>39</v>
      </c>
      <c r="E8" s="4" t="s">
        <v>41</v>
      </c>
      <c r="F8" s="4"/>
      <c r="G8" s="4" t="s">
        <v>108</v>
      </c>
      <c r="H8" s="4" t="s">
        <v>109</v>
      </c>
      <c r="I8" s="4" t="s">
        <v>39</v>
      </c>
      <c r="J8" s="4" t="s">
        <v>41</v>
      </c>
    </row>
    <row r="9" spans="1:10" ht="13.5" thickBot="1">
      <c r="A9" s="7" t="s">
        <v>132</v>
      </c>
      <c r="B9" s="8" t="s">
        <v>45</v>
      </c>
      <c r="C9" s="210"/>
      <c r="D9" s="8" t="s">
        <v>40</v>
      </c>
      <c r="E9" s="8" t="s">
        <v>38</v>
      </c>
      <c r="F9" s="8"/>
      <c r="G9" s="8" t="s">
        <v>45</v>
      </c>
      <c r="H9" s="8" t="s">
        <v>116</v>
      </c>
      <c r="I9" s="8" t="s">
        <v>40</v>
      </c>
      <c r="J9" s="8" t="s">
        <v>38</v>
      </c>
    </row>
    <row r="10" spans="1:10" ht="12.75">
      <c r="A10" s="3" t="s">
        <v>0</v>
      </c>
      <c r="B10" s="10">
        <f>SUM(B12:B39)</f>
        <v>6288481429.09</v>
      </c>
      <c r="C10" s="10">
        <f>SUM(C12:C39)</f>
        <v>5322288281.660001</v>
      </c>
      <c r="D10" s="10">
        <f>SUM(D12:D39)</f>
        <v>447347416.46999997</v>
      </c>
      <c r="E10" s="10">
        <f>SUM(E12:E39)</f>
        <v>518845730.96000004</v>
      </c>
      <c r="F10" s="10"/>
      <c r="G10" s="37">
        <f>+B10/table9!C10</f>
        <v>0.014827064155255188</v>
      </c>
      <c r="H10" s="37">
        <f>+C10/table9!C10</f>
        <v>0.012548961254761196</v>
      </c>
      <c r="I10" s="37">
        <f>+D10/table9!C10</f>
        <v>0.001054761617487703</v>
      </c>
      <c r="J10" s="37">
        <f>E10/table9!C10</f>
        <v>0.0012233412830062907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29005829.47</v>
      </c>
      <c r="C12" s="40">
        <f>'table 2a'!C11</f>
        <v>28240000</v>
      </c>
      <c r="D12" s="2">
        <f>+table4!$C11</f>
        <v>765829.47</v>
      </c>
      <c r="E12" s="225">
        <f>+table5!$C11</f>
        <v>0</v>
      </c>
      <c r="F12" s="2"/>
      <c r="G12" s="36">
        <f>+B12/table9!C12*100</f>
        <v>1.2245367578727728</v>
      </c>
      <c r="H12" s="36">
        <f>(+C12/table9!C12)*100</f>
        <v>1.1922057970482547</v>
      </c>
      <c r="I12" s="36">
        <f>(+D12/table9!C12)*100</f>
        <v>0.03233096082451815</v>
      </c>
      <c r="J12" s="36">
        <f>(E12/table9!C12)*100</f>
        <v>0</v>
      </c>
    </row>
    <row r="13" spans="1:10" ht="12.75">
      <c r="A13" s="3" t="s">
        <v>2</v>
      </c>
      <c r="B13" s="1">
        <f t="shared" si="0"/>
        <v>631067806</v>
      </c>
      <c r="C13" s="40">
        <f>'table 2a'!C12</f>
        <v>562363651</v>
      </c>
      <c r="D13" s="2">
        <f>+table4!$C12</f>
        <v>27772427</v>
      </c>
      <c r="E13" s="225">
        <f>+table5!$C12</f>
        <v>40931728</v>
      </c>
      <c r="F13" s="2"/>
      <c r="G13" s="36">
        <f>+B13/table9!C13*100</f>
        <v>1.3346499558906817</v>
      </c>
      <c r="H13" s="36">
        <f>(+C13/table9!C13)*100</f>
        <v>1.1893470319125625</v>
      </c>
      <c r="I13" s="36">
        <f>(+D13/table9!C13)*100</f>
        <v>0.05873611063361261</v>
      </c>
      <c r="J13" s="36">
        <f>(E13/table9!C13)*100</f>
        <v>0.08656681334450672</v>
      </c>
    </row>
    <row r="14" spans="1:10" ht="12.75">
      <c r="A14" s="3" t="s">
        <v>3</v>
      </c>
      <c r="B14" s="1">
        <f t="shared" si="0"/>
        <v>251685649.89</v>
      </c>
      <c r="C14" s="40">
        <f>'table 2a'!C13</f>
        <v>229660213.81</v>
      </c>
      <c r="D14" s="2">
        <f>+table4!$C13</f>
        <v>13612463.89</v>
      </c>
      <c r="E14" s="225">
        <f>+table5!$C13</f>
        <v>8412972.19</v>
      </c>
      <c r="F14" s="2"/>
      <c r="G14" s="36">
        <f>+B14/table9!C14*100</f>
        <v>1.1137743794092585</v>
      </c>
      <c r="H14" s="36">
        <f>(+C14/table9!C14)*100</f>
        <v>1.016306103359584</v>
      </c>
      <c r="I14" s="36">
        <f>(+D14/table9!C14)*100</f>
        <v>0.060238688729142675</v>
      </c>
      <c r="J14" s="36">
        <f>(E14/table9!C14)*100</f>
        <v>0.037229587320532005</v>
      </c>
    </row>
    <row r="15" spans="1:10" ht="12.75">
      <c r="A15" s="3" t="s">
        <v>4</v>
      </c>
      <c r="B15" s="1">
        <f t="shared" si="0"/>
        <v>768781346</v>
      </c>
      <c r="C15" s="40">
        <f>'table 2a'!C14</f>
        <v>663192510</v>
      </c>
      <c r="D15" s="2">
        <f>+table4!$C14</f>
        <v>74160817</v>
      </c>
      <c r="E15" s="225">
        <f>+table5!$C14</f>
        <v>31428019</v>
      </c>
      <c r="F15" s="2"/>
      <c r="G15" s="36">
        <f>+B15/table9!C15*100</f>
        <v>1.470427458912185</v>
      </c>
      <c r="H15" s="36">
        <f>(+C15/table9!C15)*100</f>
        <v>1.2684705245812429</v>
      </c>
      <c r="I15" s="36">
        <f>(+D15/table9!C15)*100</f>
        <v>0.14184540540628776</v>
      </c>
      <c r="J15" s="36">
        <f>(E15/table9!C15)*100</f>
        <v>0.06011152892465457</v>
      </c>
    </row>
    <row r="16" spans="1:10" ht="12.75">
      <c r="A16" s="3" t="s">
        <v>5</v>
      </c>
      <c r="B16" s="1">
        <f t="shared" si="0"/>
        <v>122200485.52</v>
      </c>
      <c r="C16" s="40">
        <f>'table 2a'!C15</f>
        <v>105010110</v>
      </c>
      <c r="D16" s="2">
        <f>+table4!$C15</f>
        <v>11236398.52</v>
      </c>
      <c r="E16" s="225">
        <f>+table5!$C15</f>
        <v>5953977</v>
      </c>
      <c r="F16" s="2"/>
      <c r="G16" s="36">
        <f>+B16/table9!C16*100</f>
        <v>1.6226633699644357</v>
      </c>
      <c r="H16" s="36">
        <f>(+C16/table9!C16)*100</f>
        <v>1.3943975610886437</v>
      </c>
      <c r="I16" s="36">
        <f>(+D16/table9!C16)*100</f>
        <v>0.1492047450641471</v>
      </c>
      <c r="J16" s="36">
        <f>(E16/table9!C16)*100</f>
        <v>0.07906106381164517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12415902</v>
      </c>
      <c r="C18" s="40">
        <f>'table 2a'!C17</f>
        <v>12415902</v>
      </c>
      <c r="D18" s="2">
        <f>+table4!$C17</f>
        <v>0</v>
      </c>
      <c r="E18" s="225">
        <f>+table5!$C17</f>
        <v>0</v>
      </c>
      <c r="F18" s="2"/>
      <c r="G18" s="36">
        <f>+B18/table9!C18*100</f>
        <v>0.7327020364225268</v>
      </c>
      <c r="H18" s="36">
        <f>(+C18/table9!C18)*100</f>
        <v>0.7327020364225268</v>
      </c>
      <c r="I18" s="36">
        <f>(+D18/table9!C18)*100</f>
        <v>0</v>
      </c>
      <c r="J18" s="36">
        <f>(E18/table9!C18)*100</f>
        <v>0</v>
      </c>
    </row>
    <row r="19" spans="1:10" ht="12.75">
      <c r="A19" s="3" t="s">
        <v>7</v>
      </c>
      <c r="B19" s="1">
        <f t="shared" si="0"/>
        <v>178466589.49</v>
      </c>
      <c r="C19" s="40">
        <f>'table 2a'!C18</f>
        <v>166780244</v>
      </c>
      <c r="D19" s="2">
        <f>+table4!$C18</f>
        <v>0</v>
      </c>
      <c r="E19" s="225">
        <f>+table5!$C18</f>
        <v>11686345.49</v>
      </c>
      <c r="F19" s="2"/>
      <c r="G19" s="36">
        <f>+B19/table9!C19*100</f>
        <v>1.437496812161833</v>
      </c>
      <c r="H19" s="36">
        <f>(+C19/table9!C19)*100</f>
        <v>1.3433666758954137</v>
      </c>
      <c r="I19" s="36">
        <f>(+D19/table9!C19)*100</f>
        <v>0</v>
      </c>
      <c r="J19" s="36">
        <f>(E19/table9!C19)*100</f>
        <v>0.09413013626641929</v>
      </c>
    </row>
    <row r="20" spans="1:10" ht="12.75">
      <c r="A20" s="3" t="s">
        <v>8</v>
      </c>
      <c r="B20" s="1">
        <f t="shared" si="0"/>
        <v>72619884.72</v>
      </c>
      <c r="C20" s="40">
        <f>'table 2a'!C19</f>
        <v>68350618</v>
      </c>
      <c r="D20" s="2">
        <f>+table4!$C19</f>
        <v>4269266.72</v>
      </c>
      <c r="E20" s="225">
        <f>+table5!$C19</f>
        <v>0</v>
      </c>
      <c r="F20" s="2"/>
      <c r="G20" s="36">
        <f>+B20/table9!C20*100</f>
        <v>1.187844536924026</v>
      </c>
      <c r="H20" s="36">
        <f>(+C20/table9!C20)*100</f>
        <v>1.1180120775421827</v>
      </c>
      <c r="I20" s="36">
        <f>(+D20/table9!C20)*100</f>
        <v>0.06983245938184347</v>
      </c>
      <c r="J20" s="36">
        <f>(E20/table9!C20)*100</f>
        <v>0</v>
      </c>
    </row>
    <row r="21" spans="1:10" ht="12.75">
      <c r="A21" s="3" t="s">
        <v>198</v>
      </c>
      <c r="B21" s="1">
        <f t="shared" si="0"/>
        <v>165173144.83</v>
      </c>
      <c r="C21" s="40">
        <f>'table 2a'!C20</f>
        <v>145296600</v>
      </c>
      <c r="D21" s="2">
        <f>+table4!$C20</f>
        <v>5136439.83</v>
      </c>
      <c r="E21" s="225">
        <f>+table5!$C20</f>
        <v>14740105</v>
      </c>
      <c r="F21" s="2"/>
      <c r="G21" s="36">
        <f>+B21/table9!C21*100</f>
        <v>1.541542867620744</v>
      </c>
      <c r="H21" s="36">
        <f>(+C21/table9!C21)*100</f>
        <v>1.3560372520004418</v>
      </c>
      <c r="I21" s="36">
        <f>(+D21/table9!C21)*100</f>
        <v>0.047937830287417715</v>
      </c>
      <c r="J21" s="36">
        <f>(E21/table9!C21)*100</f>
        <v>0.1375677853328844</v>
      </c>
    </row>
    <row r="22" spans="1:10" ht="12.75">
      <c r="A22" s="3" t="s">
        <v>10</v>
      </c>
      <c r="B22" s="1">
        <f t="shared" si="0"/>
        <v>25873707</v>
      </c>
      <c r="C22" s="40">
        <f>'table 2a'!C21</f>
        <v>17389545</v>
      </c>
      <c r="D22" s="2">
        <f>+table4!$C21</f>
        <v>6135272</v>
      </c>
      <c r="E22" s="225">
        <f>+table5!$C21</f>
        <v>2348890</v>
      </c>
      <c r="F22" s="2"/>
      <c r="G22" s="36">
        <f>+B22/table9!C22*100</f>
        <v>1.4205947736509377</v>
      </c>
      <c r="H22" s="36">
        <f>(+C22/table9!C22)*100</f>
        <v>0.9547722227498284</v>
      </c>
      <c r="I22" s="36">
        <f>(+D22/table9!C22)*100</f>
        <v>0.3368568461460484</v>
      </c>
      <c r="J22" s="36">
        <f>(E22/table9!C22)*100</f>
        <v>0.12896570475506083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260556446</v>
      </c>
      <c r="C24" s="40">
        <f>'table 2a'!C23</f>
        <v>223501991</v>
      </c>
      <c r="D24" s="2">
        <f>+table4!$C23</f>
        <v>7790715</v>
      </c>
      <c r="E24" s="2">
        <f>+table5!$C23</f>
        <v>29263740</v>
      </c>
      <c r="F24" s="2"/>
      <c r="G24" s="36">
        <f>+B24/table9!C24*100</f>
        <v>1.4665393506356321</v>
      </c>
      <c r="H24" s="36">
        <f>(+C24/table9!C24)*100</f>
        <v>1.2579787212284548</v>
      </c>
      <c r="I24" s="36">
        <f>(+D24/table9!C24)*100</f>
        <v>0.04384996146703382</v>
      </c>
      <c r="J24" s="36">
        <f>(E24/table9!C24)*100</f>
        <v>0.16471066794014366</v>
      </c>
    </row>
    <row r="25" spans="1:10" ht="12.75">
      <c r="A25" s="3" t="s">
        <v>12</v>
      </c>
      <c r="B25" s="1">
        <f t="shared" si="0"/>
        <v>23494333.580000002</v>
      </c>
      <c r="C25" s="40">
        <f>'table 2a'!C24</f>
        <v>23386980.76</v>
      </c>
      <c r="D25" s="2">
        <f>+table4!$C24</f>
        <v>107352.82</v>
      </c>
      <c r="E25" s="2">
        <f>+table5!$C24</f>
        <v>0</v>
      </c>
      <c r="F25" s="2"/>
      <c r="G25" s="36">
        <f>+B25/table9!C25*100</f>
        <v>1.035339733757288</v>
      </c>
      <c r="H25" s="36">
        <f>(+C25/table9!C25)*100</f>
        <v>1.030608948791695</v>
      </c>
      <c r="I25" s="36">
        <f>(+D25/table9!C25)*100</f>
        <v>0.004730784965593141</v>
      </c>
      <c r="J25" s="36">
        <f>(E25/table9!C25)*100</f>
        <v>0</v>
      </c>
    </row>
    <row r="26" spans="1:10" ht="12.75">
      <c r="A26" s="3" t="s">
        <v>13</v>
      </c>
      <c r="B26" s="1">
        <f t="shared" si="0"/>
        <v>264077211.28</v>
      </c>
      <c r="C26" s="40">
        <f>'table 2a'!C25</f>
        <v>211067388</v>
      </c>
      <c r="D26" s="2">
        <f>+table4!$C25</f>
        <v>30433302</v>
      </c>
      <c r="E26" s="2">
        <f>+table5!$C25</f>
        <v>22576521.28</v>
      </c>
      <c r="F26" s="2"/>
      <c r="G26" s="36">
        <f>+B26/table9!C26*100</f>
        <v>1.6088586947919827</v>
      </c>
      <c r="H26" s="36">
        <f>(+C26/table9!C26)*100</f>
        <v>1.2859027127894813</v>
      </c>
      <c r="I26" s="36">
        <f>(+D26/table9!C26)*100</f>
        <v>0.18541123748090135</v>
      </c>
      <c r="J26" s="36">
        <f>(E26/table9!C26)*100</f>
        <v>0.13754474452160015</v>
      </c>
    </row>
    <row r="27" spans="1:10" ht="12.75">
      <c r="A27" s="3" t="s">
        <v>14</v>
      </c>
      <c r="B27" s="1">
        <f t="shared" si="0"/>
        <v>560959196</v>
      </c>
      <c r="C27" s="40">
        <f>'table 2a'!C26</f>
        <v>464708788</v>
      </c>
      <c r="D27" s="2">
        <f>+table4!$C26</f>
        <v>57133848</v>
      </c>
      <c r="E27" s="2">
        <f>+table5!$C26</f>
        <v>39116560</v>
      </c>
      <c r="F27" s="2"/>
      <c r="G27" s="36">
        <f>+B27/table9!C27*100</f>
        <v>1.9935924022364</v>
      </c>
      <c r="H27" s="36">
        <f>(+C27/table9!C27)*100</f>
        <v>1.651528160364245</v>
      </c>
      <c r="I27" s="36">
        <f>(+D27/table9!C27)*100</f>
        <v>0.2030479330680753</v>
      </c>
      <c r="J27" s="36">
        <f>(E27/table9!C27)*100</f>
        <v>0.13901630880407972</v>
      </c>
    </row>
    <row r="28" spans="1:10" ht="12.75">
      <c r="A28" s="3" t="s">
        <v>15</v>
      </c>
      <c r="B28" s="1">
        <f t="shared" si="0"/>
        <v>17119319</v>
      </c>
      <c r="C28" s="40">
        <f>'table 2a'!C27</f>
        <v>17119319</v>
      </c>
      <c r="D28" s="2">
        <f>+table4!$C27</f>
        <v>0</v>
      </c>
      <c r="E28" s="2">
        <f>+table5!$C27</f>
        <v>0</v>
      </c>
      <c r="F28" s="2"/>
      <c r="G28" s="36">
        <f>+B28/table9!C28*100</f>
        <v>1.0605434815273231</v>
      </c>
      <c r="H28" s="36">
        <f>(+C28/table9!C28)*100</f>
        <v>1.0605434815273231</v>
      </c>
      <c r="I28" s="36">
        <f>(+D28/table9!C28)*100</f>
        <v>0</v>
      </c>
      <c r="J28" s="36">
        <f>(E28/table9!C28)*100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1782925904.64</v>
      </c>
      <c r="C30" s="40">
        <f>'table 2a'!C29</f>
        <v>1415260320.64</v>
      </c>
      <c r="D30" s="2">
        <f>+table4!$C29</f>
        <v>149126292</v>
      </c>
      <c r="E30" s="2">
        <f>+table5!$C29</f>
        <v>218539292</v>
      </c>
      <c r="F30" s="2"/>
      <c r="G30" s="36">
        <f>+B30/table9!C30*100</f>
        <v>1.7428917523722813</v>
      </c>
      <c r="H30" s="36">
        <f>(+C30/table9!C30)*100</f>
        <v>1.3834818002721545</v>
      </c>
      <c r="I30" s="36">
        <f>(+D30/table9!C30)*100</f>
        <v>0.14577778230281563</v>
      </c>
      <c r="J30" s="36">
        <f>(E30/table9!C30)*100</f>
        <v>0.2136321697973115</v>
      </c>
    </row>
    <row r="31" spans="1:10" ht="12.75">
      <c r="A31" s="3" t="s">
        <v>17</v>
      </c>
      <c r="B31" s="1">
        <f t="shared" si="0"/>
        <v>689293443.73</v>
      </c>
      <c r="C31" s="40">
        <f>'table 2a'!C30</f>
        <v>598152975.73</v>
      </c>
      <c r="D31" s="2">
        <f>+table4!$C30</f>
        <v>37240956</v>
      </c>
      <c r="E31" s="2">
        <f>+table5!$C30</f>
        <v>53899512</v>
      </c>
      <c r="F31" s="2"/>
      <c r="G31" s="36">
        <f>+B31/table9!C31*100</f>
        <v>1.3230012543075973</v>
      </c>
      <c r="H31" s="36">
        <f>(+C31/table9!C31)*100</f>
        <v>1.1480700191725466</v>
      </c>
      <c r="I31" s="36">
        <f>(+D31/table9!C31)*100</f>
        <v>0.07147874674826198</v>
      </c>
      <c r="J31" s="36">
        <f>(E31/table9!C31)*100</f>
        <v>0.10345248838678864</v>
      </c>
    </row>
    <row r="32" spans="1:10" ht="12.75">
      <c r="A32" s="3" t="s">
        <v>18</v>
      </c>
      <c r="B32" s="1">
        <f t="shared" si="0"/>
        <v>61971306.95</v>
      </c>
      <c r="C32" s="40">
        <f>'table 2a'!C31</f>
        <v>47957462</v>
      </c>
      <c r="D32" s="2">
        <f>+table4!$C31</f>
        <v>7302309.95</v>
      </c>
      <c r="E32" s="2">
        <f>+table5!$C31</f>
        <v>6711535</v>
      </c>
      <c r="F32" s="2"/>
      <c r="G32" s="36">
        <f>+B32/table9!C32*100</f>
        <v>1.3416698371346434</v>
      </c>
      <c r="H32" s="36">
        <f>(+C32/table9!C32)*100</f>
        <v>1.0382721197544607</v>
      </c>
      <c r="I32" s="36">
        <f>(+D32/table9!C32)*100</f>
        <v>0.15809395482376842</v>
      </c>
      <c r="J32" s="36">
        <f>(E32/table9!C32)*100</f>
        <v>0.14530376255641414</v>
      </c>
    </row>
    <row r="33" spans="1:10" ht="12.75">
      <c r="A33" s="3" t="s">
        <v>19</v>
      </c>
      <c r="B33" s="1">
        <f t="shared" si="0"/>
        <v>86986699.41</v>
      </c>
      <c r="C33" s="40">
        <f>'table 2a'!C32</f>
        <v>76000000</v>
      </c>
      <c r="D33" s="2">
        <f>+table4!$C32</f>
        <v>3685300.41</v>
      </c>
      <c r="E33" s="2">
        <f>+table5!$C32</f>
        <v>7301399</v>
      </c>
      <c r="F33" s="2"/>
      <c r="G33" s="36">
        <f>+B33/table9!C33*100</f>
        <v>1.2277215917361182</v>
      </c>
      <c r="H33" s="36">
        <f>(+C33/table9!C33)*100</f>
        <v>1.072656413047193</v>
      </c>
      <c r="I33" s="36">
        <f>(+D33/table9!C33)*100</f>
        <v>0.05201396208936776</v>
      </c>
      <c r="J33" s="36">
        <f>(E33/table9!C33)*100</f>
        <v>0.1030512165995574</v>
      </c>
    </row>
    <row r="34" spans="1:10" ht="12.75">
      <c r="A34" s="3" t="s">
        <v>20</v>
      </c>
      <c r="B34" s="1">
        <f t="shared" si="0"/>
        <v>10971780</v>
      </c>
      <c r="C34" s="40">
        <f>'table 2a'!C33</f>
        <v>8751100</v>
      </c>
      <c r="D34" s="2">
        <f>+table4!$C33</f>
        <v>2220680</v>
      </c>
      <c r="E34" s="2">
        <f>+table5!$C33</f>
        <v>0</v>
      </c>
      <c r="F34" s="2"/>
      <c r="G34" s="36">
        <f>+B34/table9!C34*100</f>
        <v>1.196237574658927</v>
      </c>
      <c r="H34" s="36">
        <f>(+C34/table9!C34)*100</f>
        <v>0.9541199914323598</v>
      </c>
      <c r="I34" s="36">
        <f>(+D34/table9!C34)*100</f>
        <v>0.2421175832265673</v>
      </c>
      <c r="J34" s="36">
        <f>(E34/table9!C34)*100</f>
        <v>0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35019764.34</v>
      </c>
      <c r="C36" s="40">
        <f>'table 2a'!C35</f>
        <v>34329542</v>
      </c>
      <c r="D36" s="2">
        <f>+table4!$C35</f>
        <v>690222.34</v>
      </c>
      <c r="E36" s="2">
        <f>+table5!$C35</f>
        <v>0</v>
      </c>
      <c r="F36" s="2"/>
      <c r="G36" s="36">
        <f>+B36/table9!C36*100</f>
        <v>0.7176506387952865</v>
      </c>
      <c r="H36" s="36">
        <f>(+C36/table9!C36)*100</f>
        <v>0.703506097489907</v>
      </c>
      <c r="I36" s="36">
        <f>(+D36/table9!C36)*100</f>
        <v>0.01414454130537925</v>
      </c>
      <c r="J36" s="36">
        <f>(E36/table9!C36)*100</f>
        <v>0</v>
      </c>
    </row>
    <row r="37" spans="1:10" ht="12.75">
      <c r="A37" s="3" t="s">
        <v>22</v>
      </c>
      <c r="B37" s="1">
        <f t="shared" si="0"/>
        <v>94634854.72</v>
      </c>
      <c r="C37" s="40">
        <f>'table 2a'!C36</f>
        <v>88817056.72</v>
      </c>
      <c r="D37" s="2">
        <f>+table4!$C36</f>
        <v>0</v>
      </c>
      <c r="E37" s="2">
        <f>+table5!$C36</f>
        <v>5817798</v>
      </c>
      <c r="F37" s="2"/>
      <c r="G37" s="36">
        <f>+B37/table9!C37*100</f>
        <v>1.1552602217512062</v>
      </c>
      <c r="H37" s="36">
        <f>(+C37/table9!C37)*100</f>
        <v>1.0842391309758292</v>
      </c>
      <c r="I37" s="36">
        <f>(+D37/table9!C37)*100</f>
        <v>0</v>
      </c>
      <c r="J37" s="36">
        <f>(E37/table9!C37)*100</f>
        <v>0.0710210907753769</v>
      </c>
    </row>
    <row r="38" spans="1:10" ht="12.75">
      <c r="A38" s="3" t="s">
        <v>23</v>
      </c>
      <c r="B38" s="1">
        <f t="shared" si="0"/>
        <v>54129826</v>
      </c>
      <c r="C38" s="40">
        <f>'table 2a'!C37</f>
        <v>43196892</v>
      </c>
      <c r="D38" s="2">
        <f>+table4!$C37</f>
        <v>0</v>
      </c>
      <c r="E38" s="2">
        <f>+table5!$C37</f>
        <v>10932934</v>
      </c>
      <c r="F38" s="2"/>
      <c r="G38" s="36">
        <f>+B38/table9!C38*100</f>
        <v>1.2257258692223203</v>
      </c>
      <c r="H38" s="36">
        <f>(+C38/table9!C38)*100</f>
        <v>0.9781584739327019</v>
      </c>
      <c r="I38" s="36">
        <f>(+D38/table9!C38)*100</f>
        <v>0</v>
      </c>
      <c r="J38" s="36">
        <f>(E38/table9!C38)*100</f>
        <v>0.24756739528961827</v>
      </c>
    </row>
    <row r="39" spans="1:10" ht="12.75">
      <c r="A39" s="12" t="s">
        <v>24</v>
      </c>
      <c r="B39" s="14">
        <f t="shared" si="0"/>
        <v>89050998.52</v>
      </c>
      <c r="C39" s="41">
        <f>'table 2a'!C38</f>
        <v>71339072</v>
      </c>
      <c r="D39" s="13">
        <f>+table4!$C38</f>
        <v>8527523.52</v>
      </c>
      <c r="E39" s="13">
        <f>+table5!$C38</f>
        <v>9184403</v>
      </c>
      <c r="F39" s="13"/>
      <c r="G39" s="35">
        <f>+B39/table9!C39*100</f>
        <v>1.0366598037674029</v>
      </c>
      <c r="H39" s="35">
        <f>(+C39/table9!C39)*100</f>
        <v>0.830471860052857</v>
      </c>
      <c r="I39" s="35">
        <f>(+D39/table9!C39)*100</f>
        <v>0.09927054166472599</v>
      </c>
      <c r="J39" s="35">
        <f>(E39/table9!C39)*100</f>
        <v>0.10691740204981978</v>
      </c>
    </row>
  </sheetData>
  <sheetProtection password="CAF5" sheet="1" objects="1" scenarios="1"/>
  <mergeCells count="5">
    <mergeCell ref="A1:J1"/>
    <mergeCell ref="A3:J3"/>
    <mergeCell ref="A4:J4"/>
    <mergeCell ref="B6:E6"/>
    <mergeCell ref="G6:J6"/>
  </mergeCells>
  <printOptions/>
  <pageMargins left="0.7" right="0.7" top="0.72" bottom="0.75" header="0.48" footer="0.3"/>
  <pageSetup horizontalDpi="600" verticalDpi="600" orientation="landscape" r:id="rId1"/>
  <headerFooter>
    <oddFooter>&amp;L&amp;"Arial,Italic"&amp;9MSDE - LFRO     11 / 2012&amp;C&amp;9- 21 -&amp;R&amp;"Arial,Italic"&amp;9Selected Financial Data Part 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C1">
      <selection activeCell="G13" sqref="G13"/>
    </sheetView>
  </sheetViews>
  <sheetFormatPr defaultColWidth="9.140625" defaultRowHeight="12.75"/>
  <cols>
    <col min="1" max="1" width="14.140625" style="89" customWidth="1"/>
    <col min="2" max="3" width="17.7109375" style="89" bestFit="1" customWidth="1"/>
    <col min="4" max="4" width="15.00390625" style="89" bestFit="1" customWidth="1"/>
    <col min="5" max="5" width="17.7109375" style="89" bestFit="1" customWidth="1"/>
    <col min="6" max="7" width="16.00390625" style="89" bestFit="1" customWidth="1"/>
    <col min="8" max="8" width="2.7109375" style="89" customWidth="1"/>
    <col min="9" max="12" width="9.140625" style="89" customWidth="1"/>
    <col min="15" max="15" width="15.00390625" style="0" bestFit="1" customWidth="1"/>
  </cols>
  <sheetData>
    <row r="1" spans="1:12" ht="12.75">
      <c r="A1" s="426" t="s">
        <v>111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3" spans="1:12" ht="12.75">
      <c r="A3" s="426" t="s">
        <v>273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</row>
    <row r="4" spans="1:12" ht="12.75">
      <c r="A4" s="426" t="s">
        <v>133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</row>
    <row r="5" spans="1:12" ht="13.5" thickBot="1">
      <c r="A5" s="23"/>
      <c r="B5" s="23"/>
      <c r="C5" s="23"/>
      <c r="D5" s="23"/>
      <c r="E5" s="23"/>
      <c r="F5" s="23"/>
      <c r="G5" s="23"/>
      <c r="H5" s="23"/>
      <c r="I5" s="46"/>
      <c r="J5" s="23"/>
      <c r="K5" s="23"/>
      <c r="L5" s="23"/>
    </row>
    <row r="6" spans="1:57" ht="15" customHeight="1" thickTop="1">
      <c r="A6" s="123" t="s">
        <v>77</v>
      </c>
      <c r="B6" s="124" t="s">
        <v>43</v>
      </c>
      <c r="C6" s="424" t="s">
        <v>80</v>
      </c>
      <c r="D6" s="424"/>
      <c r="E6" s="425"/>
      <c r="F6" s="425"/>
      <c r="G6" s="123"/>
      <c r="H6" s="123"/>
      <c r="I6" s="424" t="s">
        <v>82</v>
      </c>
      <c r="J6" s="424"/>
      <c r="K6" s="424"/>
      <c r="L6" s="42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12" ht="12.75">
      <c r="A7" s="32" t="s">
        <v>33</v>
      </c>
      <c r="B7" s="125" t="s">
        <v>83</v>
      </c>
      <c r="C7" s="423" t="s">
        <v>77</v>
      </c>
      <c r="D7" s="423"/>
      <c r="E7" s="126"/>
      <c r="F7" s="126"/>
      <c r="G7" s="125" t="s">
        <v>79</v>
      </c>
      <c r="H7" s="125"/>
      <c r="I7" s="127"/>
      <c r="J7" s="127"/>
      <c r="K7" s="127"/>
      <c r="L7" s="127" t="s">
        <v>79</v>
      </c>
    </row>
    <row r="8" spans="1:15" ht="13.5" thickBot="1">
      <c r="A8" s="51" t="s">
        <v>132</v>
      </c>
      <c r="B8" s="128" t="s">
        <v>84</v>
      </c>
      <c r="C8" s="48" t="s">
        <v>194</v>
      </c>
      <c r="D8" s="48" t="s">
        <v>201</v>
      </c>
      <c r="E8" s="48" t="s">
        <v>44</v>
      </c>
      <c r="F8" s="48" t="s">
        <v>51</v>
      </c>
      <c r="G8" s="48" t="s">
        <v>81</v>
      </c>
      <c r="H8" s="48"/>
      <c r="I8" s="128" t="s">
        <v>77</v>
      </c>
      <c r="J8" s="128" t="s">
        <v>44</v>
      </c>
      <c r="K8" s="129" t="s">
        <v>51</v>
      </c>
      <c r="L8" s="48" t="s">
        <v>81</v>
      </c>
      <c r="O8" s="3"/>
    </row>
    <row r="9" spans="1:15" ht="12.75">
      <c r="A9" s="32" t="s">
        <v>0</v>
      </c>
      <c r="B9" s="142">
        <f aca="true" t="shared" si="0" ref="B9:G9">SUM(B11:B38)</f>
        <v>11161695548.899998</v>
      </c>
      <c r="C9" s="142">
        <f t="shared" si="0"/>
        <v>5322288281.660001</v>
      </c>
      <c r="D9" s="142">
        <f t="shared" si="0"/>
        <v>88449284.4</v>
      </c>
      <c r="E9" s="142">
        <f t="shared" si="0"/>
        <v>4477106573.53</v>
      </c>
      <c r="F9" s="142">
        <f t="shared" si="0"/>
        <v>1237672290.2900004</v>
      </c>
      <c r="G9" s="142">
        <f t="shared" si="0"/>
        <v>36179119.02000001</v>
      </c>
      <c r="H9" s="130"/>
      <c r="I9" s="131">
        <f>IF(B9&lt;&gt;0,((+C9+D9)/B9),(IF(C9&lt;&gt;0,1,0)))</f>
        <v>0.48475946529407327</v>
      </c>
      <c r="J9" s="131">
        <f>IF($B9&lt;&gt;0,(E9/$B9),(IF(E9&lt;&gt;0,1,0)))</f>
        <v>0.40111348261700486</v>
      </c>
      <c r="K9" s="131">
        <f>IF($B9&lt;&gt;0,(F9/$B9),(IF(F9&lt;&gt;0,1,0)))</f>
        <v>0.1108856880092895</v>
      </c>
      <c r="L9" s="131">
        <f>IF($B9&lt;&gt;0,(G9/$B9),(IF(G9&lt;&gt;0,1,0)))</f>
        <v>0.003241364079632643</v>
      </c>
      <c r="O9" s="20"/>
    </row>
    <row r="10" spans="1:15" ht="12.75">
      <c r="A10" s="32"/>
      <c r="B10" s="132"/>
      <c r="C10" s="133"/>
      <c r="D10" s="49"/>
      <c r="E10" s="127"/>
      <c r="F10" s="127"/>
      <c r="G10" s="127"/>
      <c r="H10" s="127"/>
      <c r="I10" s="134"/>
      <c r="J10" s="134"/>
      <c r="K10" s="134"/>
      <c r="L10" s="134"/>
      <c r="O10" s="3"/>
    </row>
    <row r="11" spans="1:15" ht="12.75">
      <c r="A11" s="23" t="s">
        <v>1</v>
      </c>
      <c r="B11" s="143">
        <f aca="true" t="shared" si="1" ref="B11:B38">SUM(C11:G11)</f>
        <v>125497959.55</v>
      </c>
      <c r="C11" s="162">
        <f>'table 2a'!C11</f>
        <v>28240000</v>
      </c>
      <c r="D11" s="162">
        <f>'table 2a'!D11</f>
        <v>457741.83</v>
      </c>
      <c r="E11" s="162">
        <f>state1!C12-state1!I12</f>
        <v>79882111.87</v>
      </c>
      <c r="F11" s="196">
        <f>fed1!B12-'table 6'!I12</f>
        <v>16758899.770000001</v>
      </c>
      <c r="G11" s="162">
        <f>'table 2a'!G11</f>
        <v>159206.08000000002</v>
      </c>
      <c r="H11" s="111"/>
      <c r="I11" s="113">
        <f aca="true" t="shared" si="2" ref="I11:I38">IF(B11&lt;&gt;0,((+C11+D11)/B11*100),(IF(C11&lt;&gt;0,1,0)))</f>
        <v>22.867098343990566</v>
      </c>
      <c r="J11" s="113">
        <f>IF($B11&lt;&gt;0,(E11/$B11*100),(IF(E11&lt;&gt;0,1,0)))</f>
        <v>63.65212004755658</v>
      </c>
      <c r="K11" s="113">
        <f aca="true" t="shared" si="3" ref="K11:L15">IF($B11&lt;&gt;0,(F11/$B11*100),(IF(F11&lt;&gt;0,1,0)))</f>
        <v>13.353922111636438</v>
      </c>
      <c r="L11" s="113">
        <f t="shared" si="3"/>
        <v>0.1268594968164166</v>
      </c>
      <c r="M11" s="18"/>
      <c r="O11" s="20"/>
    </row>
    <row r="12" spans="1:15" ht="12.75">
      <c r="A12" s="89" t="s">
        <v>2</v>
      </c>
      <c r="B12" s="115">
        <f t="shared" si="1"/>
        <v>917437982.29</v>
      </c>
      <c r="C12" s="162">
        <f>'table 2a'!C12</f>
        <v>562363651</v>
      </c>
      <c r="D12" s="162">
        <f>'table 2a'!D12</f>
        <v>5595074.38</v>
      </c>
      <c r="E12" s="162">
        <f>state1!C13-state1!I13</f>
        <v>272049004.87</v>
      </c>
      <c r="F12" s="196">
        <f>fed1!B13-'table 6'!I13</f>
        <v>77060491.04</v>
      </c>
      <c r="G12" s="162">
        <f>'table 2a'!G12</f>
        <v>369761</v>
      </c>
      <c r="H12" s="114"/>
      <c r="I12" s="113">
        <f t="shared" si="2"/>
        <v>61.90704291120896</v>
      </c>
      <c r="J12" s="113">
        <f>IF($B12&lt;&gt;0,(E12/$B12*100),(IF(E12&lt;&gt;0,1,0)))</f>
        <v>29.653122077085094</v>
      </c>
      <c r="K12" s="113">
        <f t="shared" si="3"/>
        <v>8.399531360981015</v>
      </c>
      <c r="L12" s="113">
        <f t="shared" si="3"/>
        <v>0.040303650724929266</v>
      </c>
      <c r="O12" s="20"/>
    </row>
    <row r="13" spans="1:15" ht="12.75">
      <c r="A13" s="89" t="s">
        <v>3</v>
      </c>
      <c r="B13" s="115">
        <f t="shared" si="1"/>
        <v>1315566191.6</v>
      </c>
      <c r="C13" s="162">
        <f>'table 2a'!C13</f>
        <v>229660213.81</v>
      </c>
      <c r="D13" s="162">
        <f>'table 2a'!D13</f>
        <v>10063320.08</v>
      </c>
      <c r="E13" s="162">
        <f>state1!C14-state1!I14</f>
        <v>799995147.3699999</v>
      </c>
      <c r="F13" s="196">
        <f>fed1!B14-'table 6'!I14</f>
        <v>275847510.34</v>
      </c>
      <c r="G13" s="162">
        <f>'table 2a'!G13</f>
        <v>0</v>
      </c>
      <c r="H13" s="114"/>
      <c r="I13" s="113">
        <f>IF(B13&lt;&gt;0,((+C13+D13)/B13*100),(IF(C13&lt;&gt;0,1,0)))</f>
        <v>18.22208076040984</v>
      </c>
      <c r="J13" s="113">
        <f>IF($B13&lt;&gt;0,(E13/$B13*100),(IF(E13&lt;&gt;0,1,0)))</f>
        <v>60.80995030717844</v>
      </c>
      <c r="K13" s="113">
        <f t="shared" si="3"/>
        <v>20.967968932411715</v>
      </c>
      <c r="L13" s="113">
        <f t="shared" si="3"/>
        <v>0</v>
      </c>
      <c r="O13" s="20"/>
    </row>
    <row r="14" spans="1:15" ht="12.75">
      <c r="A14" s="89" t="s">
        <v>4</v>
      </c>
      <c r="B14" s="115">
        <f t="shared" si="1"/>
        <v>1322642516.8400002</v>
      </c>
      <c r="C14" s="162">
        <f>'table 2a'!C14</f>
        <v>663192510</v>
      </c>
      <c r="D14" s="162">
        <f>'table 2a'!D14</f>
        <v>3805393.73</v>
      </c>
      <c r="E14" s="162">
        <f>state1!C15-state1!I15</f>
        <v>498728489.16999996</v>
      </c>
      <c r="F14" s="196">
        <f>fed1!B15-'table 6'!I15</f>
        <v>136282944.94</v>
      </c>
      <c r="G14" s="162">
        <f>'table 2a'!G14</f>
        <v>20633179</v>
      </c>
      <c r="H14" s="114"/>
      <c r="I14" s="113">
        <f t="shared" si="2"/>
        <v>50.429189689407714</v>
      </c>
      <c r="J14" s="113">
        <f>IF($B14&lt;&gt;0,(E14/$B14*100),(IF(E14&lt;&gt;0,1,0)))</f>
        <v>37.706975454073586</v>
      </c>
      <c r="K14" s="113">
        <f t="shared" si="3"/>
        <v>10.303838203054386</v>
      </c>
      <c r="L14" s="113">
        <f t="shared" si="3"/>
        <v>1.5599966534643006</v>
      </c>
      <c r="O14" s="20"/>
    </row>
    <row r="15" spans="1:15" ht="12.75">
      <c r="A15" s="89" t="s">
        <v>5</v>
      </c>
      <c r="B15" s="115">
        <f t="shared" si="1"/>
        <v>203600033.61999997</v>
      </c>
      <c r="C15" s="162">
        <f>'table 2a'!C15</f>
        <v>105010110</v>
      </c>
      <c r="D15" s="162">
        <f>'table 2a'!D15</f>
        <v>1144236.57</v>
      </c>
      <c r="E15" s="162">
        <f>state1!C16-state1!I16</f>
        <v>81451013.19</v>
      </c>
      <c r="F15" s="196">
        <f>fed1!B16-'table 6'!I16</f>
        <v>15394673.859999998</v>
      </c>
      <c r="G15" s="162">
        <f>'table 2a'!G15</f>
        <v>600000</v>
      </c>
      <c r="H15" s="114"/>
      <c r="I15" s="113">
        <f t="shared" si="2"/>
        <v>52.13866848771103</v>
      </c>
      <c r="J15" s="113">
        <f>IF($B15&lt;&gt;0,(E15/$B15*100),(IF(E15&lt;&gt;0,1,0)))</f>
        <v>40.005402622879984</v>
      </c>
      <c r="K15" s="113">
        <f t="shared" si="3"/>
        <v>7.561233456735418</v>
      </c>
      <c r="L15" s="113">
        <f t="shared" si="3"/>
        <v>0.29469543267357345</v>
      </c>
      <c r="O15" s="20"/>
    </row>
    <row r="16" spans="2:15" ht="12.75">
      <c r="B16" s="115"/>
      <c r="C16" s="162"/>
      <c r="D16" s="162"/>
      <c r="E16" s="162"/>
      <c r="F16" s="196"/>
      <c r="G16" s="162"/>
      <c r="H16" s="114"/>
      <c r="I16" s="113"/>
      <c r="J16" s="113"/>
      <c r="K16" s="113"/>
      <c r="L16" s="113"/>
      <c r="O16" s="3"/>
    </row>
    <row r="17" spans="1:15" ht="12.75">
      <c r="A17" s="89" t="s">
        <v>6</v>
      </c>
      <c r="B17" s="115">
        <f t="shared" si="1"/>
        <v>62289946.14999999</v>
      </c>
      <c r="C17" s="162">
        <f>'table 2a'!C17</f>
        <v>12415902</v>
      </c>
      <c r="D17" s="162">
        <f>'table 2a'!D17</f>
        <v>984958.3300000001</v>
      </c>
      <c r="E17" s="162">
        <f>state1!C18-state1!I18</f>
        <v>40138879.91</v>
      </c>
      <c r="F17" s="196">
        <f>fed1!B18-'table 6'!I18</f>
        <v>8750205.91</v>
      </c>
      <c r="G17" s="162">
        <f>'table 2a'!G17</f>
        <v>0</v>
      </c>
      <c r="H17" s="114"/>
      <c r="I17" s="113">
        <f t="shared" si="2"/>
        <v>21.513681032456635</v>
      </c>
      <c r="J17" s="113">
        <f>IF($B17&lt;&gt;0,(E17/$B17*100),(IF(E17&lt;&gt;0,1,0)))</f>
        <v>64.4387776694201</v>
      </c>
      <c r="K17" s="113">
        <f aca="true" t="shared" si="4" ref="K17:L21">IF($B17&lt;&gt;0,(F17/$B17*100),(IF(F17&lt;&gt;0,1,0)))</f>
        <v>14.047541298123278</v>
      </c>
      <c r="L17" s="113">
        <f t="shared" si="4"/>
        <v>0</v>
      </c>
      <c r="O17" s="20"/>
    </row>
    <row r="18" spans="1:15" ht="12.75">
      <c r="A18" s="89" t="s">
        <v>7</v>
      </c>
      <c r="B18" s="115">
        <f t="shared" si="1"/>
        <v>320377352.4</v>
      </c>
      <c r="C18" s="162">
        <f>'table 2a'!C18</f>
        <v>166780244</v>
      </c>
      <c r="D18" s="162">
        <f>'table 2a'!D18</f>
        <v>1889265.15</v>
      </c>
      <c r="E18" s="162">
        <f>state1!C19-state1!I19</f>
        <v>132745031.04999998</v>
      </c>
      <c r="F18" s="196">
        <f>fed1!B19-'table 6'!I19</f>
        <v>16914019.080000002</v>
      </c>
      <c r="G18" s="162">
        <f>'table 2a'!G18</f>
        <v>2048793.12</v>
      </c>
      <c r="H18" s="114"/>
      <c r="I18" s="113">
        <f t="shared" si="2"/>
        <v>52.64713872140733</v>
      </c>
      <c r="J18" s="113">
        <f>IF($B18&lt;&gt;0,(E18/$B18*100),(IF(E18&lt;&gt;0,1,0)))</f>
        <v>41.43396218727226</v>
      </c>
      <c r="K18" s="113">
        <f t="shared" si="4"/>
        <v>5.279405349127919</v>
      </c>
      <c r="L18" s="113">
        <f t="shared" si="4"/>
        <v>0.6394937421924959</v>
      </c>
      <c r="O18" s="20"/>
    </row>
    <row r="19" spans="1:15" ht="12.75">
      <c r="A19" s="89" t="s">
        <v>8</v>
      </c>
      <c r="B19" s="115">
        <f t="shared" si="1"/>
        <v>185531169.95000002</v>
      </c>
      <c r="C19" s="162">
        <f>'table 2a'!C19</f>
        <v>68350618</v>
      </c>
      <c r="D19" s="162">
        <f>'table 2a'!D19</f>
        <v>1005957.9099999999</v>
      </c>
      <c r="E19" s="162">
        <f>state1!C20-state1!I20</f>
        <v>95752518.83</v>
      </c>
      <c r="F19" s="196">
        <f>fed1!B20-'table 6'!I20</f>
        <v>20422075.21</v>
      </c>
      <c r="G19" s="162">
        <f>'table 2a'!G19</f>
        <v>0</v>
      </c>
      <c r="H19" s="114"/>
      <c r="I19" s="113">
        <f>IF(B19&lt;&gt;0,((+C19+D19)/B19*100),(IF(C19&lt;&gt;0,1,0)))</f>
        <v>37.38270821484678</v>
      </c>
      <c r="J19" s="113">
        <f>IF($B19&lt;&gt;0,(E19/$B19*100),(IF(E19&lt;&gt;0,1,0)))</f>
        <v>51.60993640896295</v>
      </c>
      <c r="K19" s="113">
        <f t="shared" si="4"/>
        <v>11.007355376190251</v>
      </c>
      <c r="L19" s="113">
        <f t="shared" si="4"/>
        <v>0</v>
      </c>
      <c r="O19" s="20"/>
    </row>
    <row r="20" spans="1:15" ht="12.75">
      <c r="A20" s="89" t="s">
        <v>9</v>
      </c>
      <c r="B20" s="115">
        <f t="shared" si="1"/>
        <v>311469371.89</v>
      </c>
      <c r="C20" s="162">
        <f>'table 2a'!C20</f>
        <v>145296600</v>
      </c>
      <c r="D20" s="162">
        <f>'table 2a'!D20</f>
        <v>3267763.42</v>
      </c>
      <c r="E20" s="162">
        <f>state1!C21-state1!I21</f>
        <v>141528477.27</v>
      </c>
      <c r="F20" s="196">
        <f>fed1!B21-'table 6'!I21</f>
        <v>21376531.200000003</v>
      </c>
      <c r="G20" s="162">
        <f>'table 2a'!G20</f>
        <v>0</v>
      </c>
      <c r="H20" s="114"/>
      <c r="I20" s="113">
        <f t="shared" si="2"/>
        <v>47.697904457992</v>
      </c>
      <c r="J20" s="113">
        <f>IF($B20&lt;&gt;0,(E20/$B20*100),(IF(E20&lt;&gt;0,1,0)))</f>
        <v>45.43897090465219</v>
      </c>
      <c r="K20" s="113">
        <f t="shared" si="4"/>
        <v>6.863124637355818</v>
      </c>
      <c r="L20" s="113">
        <f t="shared" si="4"/>
        <v>0</v>
      </c>
      <c r="O20" s="20"/>
    </row>
    <row r="21" spans="1:15" ht="12.75">
      <c r="A21" s="89" t="s">
        <v>10</v>
      </c>
      <c r="B21" s="115">
        <f t="shared" si="1"/>
        <v>55190236.910000004</v>
      </c>
      <c r="C21" s="162">
        <f>'table 2a'!C21</f>
        <v>17389545</v>
      </c>
      <c r="D21" s="162">
        <f>'table 2a'!D21</f>
        <v>1175497.19</v>
      </c>
      <c r="E21" s="162">
        <f>state1!C22-state1!I22</f>
        <v>29295583.62</v>
      </c>
      <c r="F21" s="196">
        <f>fed1!B22-'table 6'!I22</f>
        <v>7329611.1</v>
      </c>
      <c r="G21" s="162">
        <f>'table 2a'!G21</f>
        <v>0</v>
      </c>
      <c r="H21" s="114"/>
      <c r="I21" s="113">
        <f t="shared" si="2"/>
        <v>33.63827232753946</v>
      </c>
      <c r="J21" s="113">
        <f>IF($B21&lt;&gt;0,(E21/$B21*100),(IF(E21&lt;&gt;0,1,0)))</f>
        <v>53.08109778143005</v>
      </c>
      <c r="K21" s="113">
        <f t="shared" si="4"/>
        <v>13.280629891030484</v>
      </c>
      <c r="L21" s="113">
        <f t="shared" si="4"/>
        <v>0</v>
      </c>
      <c r="O21" s="20"/>
    </row>
    <row r="22" spans="2:15" ht="12.75">
      <c r="B22" s="115"/>
      <c r="C22" s="162"/>
      <c r="D22" s="162"/>
      <c r="E22" s="162"/>
      <c r="F22" s="196"/>
      <c r="G22" s="162"/>
      <c r="H22" s="114"/>
      <c r="I22" s="113"/>
      <c r="J22" s="113"/>
      <c r="K22" s="113"/>
      <c r="L22" s="113"/>
      <c r="O22" s="3"/>
    </row>
    <row r="23" spans="1:15" ht="12.75">
      <c r="A23" s="89" t="s">
        <v>11</v>
      </c>
      <c r="B23" s="115">
        <f t="shared" si="1"/>
        <v>470202041.24</v>
      </c>
      <c r="C23" s="162">
        <f>'table 2a'!C23</f>
        <v>223501991</v>
      </c>
      <c r="D23" s="162">
        <f>'table 2a'!D23</f>
        <v>11866244.170000002</v>
      </c>
      <c r="E23" s="162">
        <f>state1!C24-state1!I24</f>
        <v>196041754.86</v>
      </c>
      <c r="F23" s="196">
        <f>fed1!B24-'table 6'!I24</f>
        <v>38792051.20999999</v>
      </c>
      <c r="G23" s="162">
        <f>'table 2a'!G23</f>
        <v>0</v>
      </c>
      <c r="H23" s="114"/>
      <c r="I23" s="113">
        <f t="shared" si="2"/>
        <v>50.05682972989553</v>
      </c>
      <c r="J23" s="113">
        <f>IF($B23&lt;&gt;0,(E23/$B23*100),(IF(E23&lt;&gt;0,1,0)))</f>
        <v>41.69308885665526</v>
      </c>
      <c r="K23" s="113">
        <f aca="true" t="shared" si="5" ref="K23:L27">IF($B23&lt;&gt;0,(F23/$B23*100),(IF(F23&lt;&gt;0,1,0)))</f>
        <v>8.250081413449202</v>
      </c>
      <c r="L23" s="113">
        <f t="shared" si="5"/>
        <v>0</v>
      </c>
      <c r="O23" s="20"/>
    </row>
    <row r="24" spans="1:15" ht="12.75">
      <c r="A24" s="89" t="s">
        <v>12</v>
      </c>
      <c r="B24" s="115">
        <f t="shared" si="1"/>
        <v>54025980.150000006</v>
      </c>
      <c r="C24" s="162">
        <f>'table 2a'!C24</f>
        <v>23386980.76</v>
      </c>
      <c r="D24" s="162">
        <f>'table 2a'!D24</f>
        <v>250011.72</v>
      </c>
      <c r="E24" s="162">
        <f>state1!C25-state1!I25</f>
        <v>22519671.450000003</v>
      </c>
      <c r="F24" s="196">
        <f>fed1!B25-'table 6'!I25</f>
        <v>7712444.51</v>
      </c>
      <c r="G24" s="162">
        <f>'table 2a'!G24</f>
        <v>156871.71</v>
      </c>
      <c r="H24" s="114"/>
      <c r="I24" s="113">
        <f t="shared" si="2"/>
        <v>43.7511590060435</v>
      </c>
      <c r="J24" s="113">
        <f>IF($B24&lt;&gt;0,(E24/$B24*100),(IF(E24&lt;&gt;0,1,0)))</f>
        <v>41.68304098782741</v>
      </c>
      <c r="K24" s="113">
        <f t="shared" si="5"/>
        <v>14.27543653736007</v>
      </c>
      <c r="L24" s="113">
        <f t="shared" si="5"/>
        <v>0.29036346876901586</v>
      </c>
      <c r="O24" s="20"/>
    </row>
    <row r="25" spans="1:15" ht="12.75">
      <c r="A25" s="89" t="s">
        <v>13</v>
      </c>
      <c r="B25" s="115">
        <f t="shared" si="1"/>
        <v>463819236.99</v>
      </c>
      <c r="C25" s="162">
        <f>'table 2a'!C25</f>
        <v>211067388</v>
      </c>
      <c r="D25" s="162">
        <f>'table 2a'!D25</f>
        <v>5597610.76</v>
      </c>
      <c r="E25" s="162">
        <f>state1!C26-state1!I26</f>
        <v>200789609.71</v>
      </c>
      <c r="F25" s="196">
        <f>fed1!B26-'table 6'!I26</f>
        <v>40626930.5</v>
      </c>
      <c r="G25" s="162">
        <f>'table 2a'!G25</f>
        <v>5737698.02</v>
      </c>
      <c r="H25" s="114"/>
      <c r="I25" s="113">
        <f>IF(B25&lt;&gt;0,((+C25+D25)/B25*100),(IF(C25&lt;&gt;0,1,0)))</f>
        <v>46.713241168276795</v>
      </c>
      <c r="J25" s="113">
        <f>IF($B25&lt;&gt;0,(E25/$B25*100),(IF(E25&lt;&gt;0,1,0)))</f>
        <v>43.29048769366353</v>
      </c>
      <c r="K25" s="113">
        <f t="shared" si="5"/>
        <v>8.759216362747784</v>
      </c>
      <c r="L25" s="113">
        <f t="shared" si="5"/>
        <v>1.237054775311897</v>
      </c>
      <c r="O25" s="20"/>
    </row>
    <row r="26" spans="1:15" ht="12.75">
      <c r="A26" s="89" t="s">
        <v>14</v>
      </c>
      <c r="B26" s="115">
        <f t="shared" si="1"/>
        <v>710419717.14</v>
      </c>
      <c r="C26" s="162">
        <f>'table 2a'!C26</f>
        <v>464708788</v>
      </c>
      <c r="D26" s="162">
        <f>'table 2a'!D26</f>
        <v>7222054</v>
      </c>
      <c r="E26" s="162">
        <f>state1!C27-state1!I27</f>
        <v>198040873.31</v>
      </c>
      <c r="F26" s="196">
        <f>fed1!B27-'table 6'!I27</f>
        <v>39164666.83</v>
      </c>
      <c r="G26" s="162">
        <f>'table 2a'!G26</f>
        <v>1283335</v>
      </c>
      <c r="H26" s="114"/>
      <c r="I26" s="113">
        <f t="shared" si="2"/>
        <v>66.4298626028982</v>
      </c>
      <c r="J26" s="113">
        <f>IF($B26&lt;&gt;0,(E26/$B26*100),(IF(E26&lt;&gt;0,1,0)))</f>
        <v>27.87660146980025</v>
      </c>
      <c r="K26" s="113">
        <f t="shared" si="5"/>
        <v>5.512891307080931</v>
      </c>
      <c r="L26" s="113">
        <f t="shared" si="5"/>
        <v>0.18064462022062622</v>
      </c>
      <c r="O26" s="20"/>
    </row>
    <row r="27" spans="1:15" ht="12.75">
      <c r="A27" s="89" t="s">
        <v>15</v>
      </c>
      <c r="B27" s="115">
        <f t="shared" si="1"/>
        <v>30353954.469999995</v>
      </c>
      <c r="C27" s="162">
        <f>'table 2a'!C27</f>
        <v>17119319</v>
      </c>
      <c r="D27" s="162">
        <f>'table 2a'!D27</f>
        <v>231188.22</v>
      </c>
      <c r="E27" s="162">
        <f>state1!C28-state1!I28</f>
        <v>8946254.979999999</v>
      </c>
      <c r="F27" s="196">
        <f>fed1!B28-'table 6'!I28</f>
        <v>4057192.27</v>
      </c>
      <c r="G27" s="162">
        <f>'table 2a'!G27</f>
        <v>0</v>
      </c>
      <c r="H27" s="114"/>
      <c r="I27" s="113">
        <f t="shared" si="2"/>
        <v>57.160615553891624</v>
      </c>
      <c r="J27" s="113">
        <f>IF($B27&lt;&gt;0,(E27/$B27*100),(IF(E27&lt;&gt;0,1,0)))</f>
        <v>29.473111942768227</v>
      </c>
      <c r="K27" s="113">
        <f t="shared" si="5"/>
        <v>13.366272503340157</v>
      </c>
      <c r="L27" s="113">
        <f t="shared" si="5"/>
        <v>0</v>
      </c>
      <c r="O27" s="20"/>
    </row>
    <row r="28" spans="2:15" ht="12.75">
      <c r="B28" s="115"/>
      <c r="C28" s="162"/>
      <c r="D28" s="162"/>
      <c r="E28" s="162"/>
      <c r="F28" s="196"/>
      <c r="G28" s="162"/>
      <c r="H28" s="114"/>
      <c r="I28" s="113"/>
      <c r="J28" s="113"/>
      <c r="K28" s="113"/>
      <c r="L28" s="113"/>
      <c r="O28" s="3"/>
    </row>
    <row r="29" spans="1:15" ht="12.75">
      <c r="A29" s="89" t="s">
        <v>16</v>
      </c>
      <c r="B29" s="115">
        <f t="shared" si="1"/>
        <v>2065950661.18</v>
      </c>
      <c r="C29" s="162">
        <f>'table 2a'!C29</f>
        <v>1415260320.64</v>
      </c>
      <c r="D29" s="162">
        <f>'table 2a'!D29</f>
        <v>15067298.299999999</v>
      </c>
      <c r="E29" s="162">
        <f>state1!C30-state1!I30</f>
        <v>472508531.12</v>
      </c>
      <c r="F29" s="196">
        <f>fed1!B30-'table 6'!I30</f>
        <v>162924748.23</v>
      </c>
      <c r="G29" s="162">
        <f>'table 2a'!G29</f>
        <v>189762.89</v>
      </c>
      <c r="H29" s="114"/>
      <c r="I29" s="113">
        <f t="shared" si="2"/>
        <v>69.23338711888918</v>
      </c>
      <c r="J29" s="113">
        <f>IF($B29&lt;&gt;0,(E29/$B29*100),(IF(E29&lt;&gt;0,1,0)))</f>
        <v>22.871239860593736</v>
      </c>
      <c r="K29" s="113">
        <f aca="true" t="shared" si="6" ref="K29:L33">IF($B29&lt;&gt;0,(F29/$B29*100),(IF(F29&lt;&gt;0,1,0)))</f>
        <v>7.886187762922807</v>
      </c>
      <c r="L29" s="113">
        <f t="shared" si="6"/>
        <v>0.009185257594274491</v>
      </c>
      <c r="O29" s="20"/>
    </row>
    <row r="30" spans="1:15" ht="12.75">
      <c r="A30" s="89" t="s">
        <v>17</v>
      </c>
      <c r="B30" s="115">
        <f t="shared" si="1"/>
        <v>1646819377.43</v>
      </c>
      <c r="C30" s="162">
        <f>'table 2a'!C30</f>
        <v>598152975.73</v>
      </c>
      <c r="D30" s="162">
        <f>'table 2a'!D30</f>
        <v>12899118.9</v>
      </c>
      <c r="E30" s="162">
        <f>state1!C31-state1!I31</f>
        <v>791789186.23</v>
      </c>
      <c r="F30" s="196">
        <f>fed1!B31-'table 6'!I31</f>
        <v>243978096.57</v>
      </c>
      <c r="G30" s="162">
        <f>'table 2a'!G30</f>
        <v>0</v>
      </c>
      <c r="H30" s="114"/>
      <c r="I30" s="113">
        <f t="shared" si="2"/>
        <v>37.104985707880004</v>
      </c>
      <c r="J30" s="113">
        <f>IF($B30&lt;&gt;0,(E30/$B30*100),(IF(E30&lt;&gt;0,1,0)))</f>
        <v>48.07990463809416</v>
      </c>
      <c r="K30" s="113">
        <f t="shared" si="6"/>
        <v>14.815109654025829</v>
      </c>
      <c r="L30" s="113">
        <f t="shared" si="6"/>
        <v>0</v>
      </c>
      <c r="O30" s="20"/>
    </row>
    <row r="31" spans="1:15" ht="12.75">
      <c r="A31" s="89" t="s">
        <v>18</v>
      </c>
      <c r="B31" s="115">
        <f t="shared" si="1"/>
        <v>86298441.05999999</v>
      </c>
      <c r="C31" s="162">
        <f>'table 2a'!C31</f>
        <v>47957462</v>
      </c>
      <c r="D31" s="162">
        <f>'table 2a'!D31</f>
        <v>779802.8</v>
      </c>
      <c r="E31" s="162">
        <f>state1!C32-state1!I32</f>
        <v>29511995.549999997</v>
      </c>
      <c r="F31" s="196">
        <f>fed1!B32-'table 6'!I32</f>
        <v>8049180.709999999</v>
      </c>
      <c r="G31" s="162">
        <f>'table 2a'!G31</f>
        <v>0</v>
      </c>
      <c r="H31" s="114"/>
      <c r="I31" s="113">
        <f>IF(B31&lt;&gt;0,((+C31+D31)/B31*100),(IF(C31&lt;&gt;0,1,0)))</f>
        <v>56.47525517420975</v>
      </c>
      <c r="J31" s="113">
        <f>IF($B31&lt;&gt;0,(E31/$B31*100),(IF(E31&lt;&gt;0,1,0)))</f>
        <v>34.197599849435804</v>
      </c>
      <c r="K31" s="113">
        <f t="shared" si="6"/>
        <v>9.327144976354456</v>
      </c>
      <c r="L31" s="113">
        <f t="shared" si="6"/>
        <v>0</v>
      </c>
      <c r="O31" s="20"/>
    </row>
    <row r="32" spans="1:15" ht="12.75">
      <c r="A32" s="89" t="s">
        <v>19</v>
      </c>
      <c r="B32" s="115">
        <f t="shared" si="1"/>
        <v>189979510.79999998</v>
      </c>
      <c r="C32" s="162">
        <f>'table 2a'!C32</f>
        <v>76000000</v>
      </c>
      <c r="D32" s="162">
        <f>'table 2a'!D32</f>
        <v>968272.73</v>
      </c>
      <c r="E32" s="162">
        <f>state1!C33-state1!I33</f>
        <v>88463733.53</v>
      </c>
      <c r="F32" s="196">
        <f>fed1!B33-'table 6'!I33</f>
        <v>22075751.410000004</v>
      </c>
      <c r="G32" s="162">
        <f>'table 2a'!G32</f>
        <v>2471753.1300000004</v>
      </c>
      <c r="H32" s="114"/>
      <c r="I32" s="113">
        <f t="shared" si="2"/>
        <v>40.51398616929169</v>
      </c>
      <c r="J32" s="113">
        <f>IF($B32&lt;&gt;0,(E32/$B32*100),(IF(E32&lt;&gt;0,1,0)))</f>
        <v>46.564881211390095</v>
      </c>
      <c r="K32" s="113">
        <f t="shared" si="6"/>
        <v>11.620069615422974</v>
      </c>
      <c r="L32" s="113">
        <f t="shared" si="6"/>
        <v>1.3010630038952604</v>
      </c>
      <c r="O32" s="20"/>
    </row>
    <row r="33" spans="1:15" ht="12.75">
      <c r="A33" s="89" t="s">
        <v>20</v>
      </c>
      <c r="B33" s="115">
        <f t="shared" si="1"/>
        <v>38118340.78</v>
      </c>
      <c r="C33" s="162">
        <f>'table 2a'!C33</f>
        <v>8751100</v>
      </c>
      <c r="D33" s="162">
        <f>'table 2a'!D33</f>
        <v>260868.48999999996</v>
      </c>
      <c r="E33" s="162">
        <f>state1!C34-state1!I34</f>
        <v>22455881.86</v>
      </c>
      <c r="F33" s="196">
        <f>fed1!B34-'table 6'!I34</f>
        <v>6650490.43</v>
      </c>
      <c r="G33" s="162">
        <f>'table 2a'!G33</f>
        <v>0</v>
      </c>
      <c r="H33" s="114"/>
      <c r="I33" s="113">
        <f t="shared" si="2"/>
        <v>23.64207965402423</v>
      </c>
      <c r="J33" s="113">
        <f>IF($B33&lt;&gt;0,(E33/$B33*100),(IF(E33&lt;&gt;0,1,0)))</f>
        <v>58.910963595199796</v>
      </c>
      <c r="K33" s="113">
        <f t="shared" si="6"/>
        <v>17.446956750775968</v>
      </c>
      <c r="L33" s="113">
        <f t="shared" si="6"/>
        <v>0</v>
      </c>
      <c r="O33" s="20"/>
    </row>
    <row r="34" spans="2:15" ht="12.75">
      <c r="B34" s="115"/>
      <c r="C34" s="66"/>
      <c r="D34" s="162"/>
      <c r="E34" s="196"/>
      <c r="F34" s="196"/>
      <c r="G34" s="162"/>
      <c r="H34" s="114"/>
      <c r="I34" s="113"/>
      <c r="J34" s="113"/>
      <c r="K34" s="113"/>
      <c r="L34" s="113"/>
      <c r="O34" s="3"/>
    </row>
    <row r="35" spans="1:15" ht="12.75">
      <c r="A35" s="89" t="s">
        <v>21</v>
      </c>
      <c r="B35" s="115">
        <f t="shared" si="1"/>
        <v>49894107.58</v>
      </c>
      <c r="C35" s="162">
        <f>'table 2a'!C35</f>
        <v>34329542</v>
      </c>
      <c r="D35" s="162">
        <f>'table 2a'!D35</f>
        <v>868611.87</v>
      </c>
      <c r="E35" s="162">
        <f>state1!C36-state1!I36</f>
        <v>10406842.4</v>
      </c>
      <c r="F35" s="196">
        <f>fed1!B36-'table 6'!I36</f>
        <v>4287687.03</v>
      </c>
      <c r="G35" s="162">
        <f>'table 2a'!G35</f>
        <v>1424.28</v>
      </c>
      <c r="H35" s="114"/>
      <c r="I35" s="113">
        <f t="shared" si="2"/>
        <v>70.54571286511825</v>
      </c>
      <c r="J35" s="113">
        <f>IF($B35&lt;&gt;0,(E35/$B35*100),(IF(E35&lt;&gt;0,1,0)))</f>
        <v>20.85785858242622</v>
      </c>
      <c r="K35" s="113">
        <f aca="true" t="shared" si="7" ref="K35:L38">IF($B35&lt;&gt;0,(F35/$B35*100),(IF(F35&lt;&gt;0,1,0)))</f>
        <v>8.593573946833583</v>
      </c>
      <c r="L35" s="113">
        <f t="shared" si="7"/>
        <v>0.002854605621949076</v>
      </c>
      <c r="O35" s="20"/>
    </row>
    <row r="36" spans="1:15" ht="12.75">
      <c r="A36" s="89" t="s">
        <v>22</v>
      </c>
      <c r="B36" s="115">
        <f t="shared" si="1"/>
        <v>258297940.95999998</v>
      </c>
      <c r="C36" s="162">
        <f>'table 2a'!C36</f>
        <v>88817056.72</v>
      </c>
      <c r="D36" s="162">
        <f>'table 2a'!D36</f>
        <v>1223825.57</v>
      </c>
      <c r="E36" s="162">
        <f>state1!C37-state1!I37</f>
        <v>136914246.26999998</v>
      </c>
      <c r="F36" s="196">
        <f>fed1!B37-'table 6'!I37</f>
        <v>30865920.13</v>
      </c>
      <c r="G36" s="162">
        <f>'table 2a'!G36</f>
        <v>476892.26999999996</v>
      </c>
      <c r="H36" s="114"/>
      <c r="I36" s="113">
        <f t="shared" si="2"/>
        <v>34.85931090095051</v>
      </c>
      <c r="J36" s="113">
        <f>IF($B36&lt;&gt;0,(E36/$B36*100),(IF(E36&lt;&gt;0,1,0)))</f>
        <v>53.0063250837925</v>
      </c>
      <c r="K36" s="113">
        <f t="shared" si="7"/>
        <v>11.94973526125781</v>
      </c>
      <c r="L36" s="113">
        <f t="shared" si="7"/>
        <v>0.18462875399918557</v>
      </c>
      <c r="O36" s="20"/>
    </row>
    <row r="37" spans="1:15" ht="12.75">
      <c r="A37" s="89" t="s">
        <v>23</v>
      </c>
      <c r="B37" s="115">
        <f t="shared" si="1"/>
        <v>178123605.76</v>
      </c>
      <c r="C37" s="162">
        <f>'table 2a'!C37</f>
        <v>43196892</v>
      </c>
      <c r="D37" s="162">
        <f>'table 2a'!D37</f>
        <v>1068309.41</v>
      </c>
      <c r="E37" s="162">
        <f>state1!C38-state1!I38</f>
        <v>110404519.29</v>
      </c>
      <c r="F37" s="196">
        <f>fed1!B38-'table 6'!I38</f>
        <v>21403442.54</v>
      </c>
      <c r="G37" s="162">
        <f>'table 2a'!G37</f>
        <v>2050442.52</v>
      </c>
      <c r="H37" s="114"/>
      <c r="I37" s="113">
        <f t="shared" si="2"/>
        <v>24.850833903307574</v>
      </c>
      <c r="J37" s="113">
        <f>IF($B37&lt;&gt;0,(E37/$B37*100),(IF(E37&lt;&gt;0,1,0)))</f>
        <v>61.98196966591657</v>
      </c>
      <c r="K37" s="113">
        <f t="shared" si="7"/>
        <v>12.016061795222441</v>
      </c>
      <c r="L37" s="113">
        <f t="shared" si="7"/>
        <v>1.1511346355534275</v>
      </c>
      <c r="O37" s="20"/>
    </row>
    <row r="38" spans="1:15" ht="12.75">
      <c r="A38" s="145" t="s">
        <v>24</v>
      </c>
      <c r="B38" s="118">
        <f t="shared" si="1"/>
        <v>99789872.16</v>
      </c>
      <c r="C38" s="163">
        <f>'table 2a'!C38</f>
        <v>71339072</v>
      </c>
      <c r="D38" s="163">
        <f>'table 2a'!D38</f>
        <v>756858.8699999999</v>
      </c>
      <c r="E38" s="163">
        <f>state1!C39-state1!I39</f>
        <v>16747215.82</v>
      </c>
      <c r="F38" s="163">
        <f>fed1!B39-'table 6'!I39</f>
        <v>10946725.469999999</v>
      </c>
      <c r="G38" s="163">
        <f>'table 2a'!G38</f>
        <v>0</v>
      </c>
      <c r="H38" s="117"/>
      <c r="I38" s="119">
        <f t="shared" si="2"/>
        <v>72.24774349285028</v>
      </c>
      <c r="J38" s="119">
        <f>IF($B38&lt;&gt;0,(E38/$B38*100),(IF(E38&lt;&gt;0,1,0)))</f>
        <v>16.782480483738905</v>
      </c>
      <c r="K38" s="119">
        <f t="shared" si="7"/>
        <v>10.96977602341083</v>
      </c>
      <c r="L38" s="119">
        <f t="shared" si="7"/>
        <v>0</v>
      </c>
      <c r="O38" s="20"/>
    </row>
    <row r="39" spans="1:15" ht="12.75">
      <c r="A39" s="93"/>
      <c r="B39" s="115"/>
      <c r="C39" s="112"/>
      <c r="D39" s="112"/>
      <c r="E39" s="112"/>
      <c r="F39" s="112"/>
      <c r="G39" s="112"/>
      <c r="H39" s="111"/>
      <c r="I39" s="113"/>
      <c r="J39" s="113"/>
      <c r="K39" s="113"/>
      <c r="L39" s="113"/>
      <c r="O39" s="20"/>
    </row>
    <row r="40" spans="1:12" ht="12.75">
      <c r="A40" s="157" t="s">
        <v>222</v>
      </c>
      <c r="C40" s="110"/>
      <c r="D40" s="114"/>
      <c r="E40" s="110"/>
      <c r="F40" s="110"/>
      <c r="G40" s="110"/>
      <c r="H40" s="110"/>
      <c r="I40" s="164"/>
      <c r="J40" s="164"/>
      <c r="K40" s="164"/>
      <c r="L40" s="110"/>
    </row>
    <row r="41" spans="1:256" ht="12.75">
      <c r="A41" s="53" t="s">
        <v>276</v>
      </c>
      <c r="B41" s="53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12" ht="12.75">
      <c r="A42" s="53" t="s">
        <v>200</v>
      </c>
      <c r="C42" s="110"/>
      <c r="D42" s="114"/>
      <c r="E42" s="110"/>
      <c r="F42" s="110"/>
      <c r="G42" s="110"/>
      <c r="H42" s="110"/>
      <c r="I42" s="110"/>
      <c r="J42" s="110"/>
      <c r="K42" s="110"/>
      <c r="L42" s="110"/>
    </row>
    <row r="43" spans="1:12" ht="12.75">
      <c r="A43" s="121"/>
      <c r="C43" s="110"/>
      <c r="D43" s="114"/>
      <c r="E43" s="110"/>
      <c r="F43" s="110"/>
      <c r="G43" s="110"/>
      <c r="H43" s="110"/>
      <c r="I43" s="110"/>
      <c r="J43" s="110"/>
      <c r="K43" s="110"/>
      <c r="L43" s="110"/>
    </row>
    <row r="44" spans="3:12" ht="12.75">
      <c r="C44" s="110"/>
      <c r="D44" s="114"/>
      <c r="E44" s="110"/>
      <c r="F44" s="110"/>
      <c r="G44" s="110"/>
      <c r="H44" s="110"/>
      <c r="I44" s="110"/>
      <c r="J44" s="110"/>
      <c r="K44" s="110"/>
      <c r="L44" s="110"/>
    </row>
    <row r="45" ht="12.75">
      <c r="D45" s="120"/>
    </row>
    <row r="46" ht="12.75">
      <c r="D46" s="120"/>
    </row>
  </sheetData>
  <sheetProtection password="CAF5" sheet="1" objects="1" scenarios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81" r:id="rId1"/>
  <headerFooter alignWithMargins="0">
    <oddFooter>&amp;L&amp;"Arial,Italic"&amp;9MSDE - LFRO  11 / 2012&amp;C- 3 -&amp;R&amp;"Arial,Italic"&amp;9Selected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4.8515625" style="55" customWidth="1"/>
    <col min="4" max="4" width="13.28125" style="55" customWidth="1"/>
    <col min="5" max="5" width="18.140625" style="55" customWidth="1"/>
    <col min="6" max="7" width="13.28125" style="55" customWidth="1"/>
    <col min="8" max="11" width="9.140625" style="55" customWidth="1"/>
  </cols>
  <sheetData>
    <row r="1" spans="1:11" ht="12.75">
      <c r="A1" s="432" t="s">
        <v>87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3" spans="1:11" ht="12.75">
      <c r="A3" s="426" t="s">
        <v>274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0" ht="12.75">
      <c r="A4" s="432"/>
      <c r="B4" s="432"/>
      <c r="C4" s="432"/>
      <c r="D4" s="432"/>
      <c r="E4" s="432"/>
      <c r="F4" s="432"/>
      <c r="G4" s="432"/>
      <c r="H4" s="432"/>
      <c r="I4" s="432"/>
      <c r="J4" s="432"/>
    </row>
    <row r="5" spans="2:11" ht="13.5" thickBot="1">
      <c r="B5" s="11"/>
      <c r="C5" s="211"/>
      <c r="D5" s="211"/>
      <c r="E5" s="211"/>
      <c r="F5" s="211"/>
      <c r="G5" s="211"/>
      <c r="H5" s="211"/>
      <c r="I5" s="211"/>
      <c r="J5" s="211"/>
      <c r="K5" s="211"/>
    </row>
    <row r="6" spans="1:58" ht="15" customHeight="1" thickTop="1">
      <c r="A6" s="6" t="s">
        <v>77</v>
      </c>
      <c r="B6" s="17" t="s">
        <v>43</v>
      </c>
      <c r="C6" s="434" t="s">
        <v>80</v>
      </c>
      <c r="D6" s="434"/>
      <c r="E6" s="434"/>
      <c r="F6" s="434"/>
      <c r="G6" s="214"/>
      <c r="H6" s="434" t="s">
        <v>82</v>
      </c>
      <c r="I6" s="434"/>
      <c r="J6" s="434"/>
      <c r="K6" s="43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11" ht="12.75">
      <c r="A7" s="3" t="s">
        <v>33</v>
      </c>
      <c r="B7" s="9" t="s">
        <v>83</v>
      </c>
      <c r="C7" s="433" t="s">
        <v>77</v>
      </c>
      <c r="D7" s="433"/>
      <c r="E7" s="435" t="s">
        <v>44</v>
      </c>
      <c r="F7" s="435" t="s">
        <v>51</v>
      </c>
      <c r="G7" s="125" t="s">
        <v>79</v>
      </c>
      <c r="H7" s="67"/>
      <c r="I7" s="67"/>
      <c r="J7" s="67"/>
      <c r="K7" s="67" t="s">
        <v>79</v>
      </c>
    </row>
    <row r="8" spans="1:11" ht="13.5" thickBot="1">
      <c r="A8" s="7" t="s">
        <v>132</v>
      </c>
      <c r="B8" s="221" t="s">
        <v>84</v>
      </c>
      <c r="C8" s="85" t="s">
        <v>78</v>
      </c>
      <c r="D8" s="85" t="s">
        <v>113</v>
      </c>
      <c r="E8" s="436"/>
      <c r="F8" s="436"/>
      <c r="G8" s="48" t="s">
        <v>81</v>
      </c>
      <c r="H8" s="212" t="s">
        <v>77</v>
      </c>
      <c r="I8" s="212" t="s">
        <v>44</v>
      </c>
      <c r="J8" s="213" t="s">
        <v>51</v>
      </c>
      <c r="K8" s="85" t="s">
        <v>81</v>
      </c>
    </row>
    <row r="9" spans="1:11" ht="12.75">
      <c r="A9" s="3" t="s">
        <v>0</v>
      </c>
      <c r="B9" s="62">
        <f aca="true" t="shared" si="0" ref="B9:G9">SUM(B11:B38)</f>
        <v>831614964.2200001</v>
      </c>
      <c r="C9" s="165">
        <f t="shared" si="0"/>
        <v>447347416.46999997</v>
      </c>
      <c r="D9" s="165">
        <f t="shared" si="0"/>
        <v>6486085.049999999</v>
      </c>
      <c r="E9" s="165">
        <f t="shared" si="0"/>
        <v>215340116.65</v>
      </c>
      <c r="F9" s="165">
        <f t="shared" si="0"/>
        <v>500000</v>
      </c>
      <c r="G9" s="165">
        <f t="shared" si="0"/>
        <v>161941346.04999998</v>
      </c>
      <c r="H9" s="166">
        <f>IF(B9&lt;&gt;0,((+C9+D9)/B9),(IF(C9&lt;&gt;0,1,0)))</f>
        <v>0.5457255112594875</v>
      </c>
      <c r="I9" s="166">
        <f>IF($B9&lt;&gt;0,(E9/$B9),(IF(E9&lt;&gt;0,1,0)))</f>
        <v>0.2589420896868719</v>
      </c>
      <c r="J9" s="166">
        <f>IF($B9&lt;&gt;0,(F9/$B9),(IF(F9&lt;&gt;0,1,0)))</f>
        <v>0.0006012397822458221</v>
      </c>
      <c r="K9" s="166">
        <f>IF($B9&lt;&gt;0,(G9/$B9),(IF(G9&lt;&gt;0,1,0)))</f>
        <v>0.19473115927139462</v>
      </c>
    </row>
    <row r="10" spans="1:11" ht="12.75">
      <c r="A10" s="3"/>
      <c r="B10" s="63"/>
      <c r="C10" s="167"/>
      <c r="D10" s="79"/>
      <c r="E10" s="78"/>
      <c r="F10" s="74"/>
      <c r="G10" s="74"/>
      <c r="H10" s="168"/>
      <c r="I10" s="168"/>
      <c r="J10" s="168"/>
      <c r="K10" s="168"/>
    </row>
    <row r="11" spans="1:11" ht="12.75">
      <c r="A11" t="s">
        <v>1</v>
      </c>
      <c r="B11" s="58">
        <f aca="true" t="shared" si="1" ref="B11:B38">SUM(C11:G11)</f>
        <v>2835077.57</v>
      </c>
      <c r="C11" s="357">
        <v>765829.47</v>
      </c>
      <c r="D11" s="357">
        <v>0</v>
      </c>
      <c r="E11" s="153">
        <v>107206.97</v>
      </c>
      <c r="F11" s="357">
        <v>0</v>
      </c>
      <c r="G11" s="357">
        <v>1962041.13</v>
      </c>
      <c r="H11" s="160">
        <f aca="true" t="shared" si="2" ref="H11:H38">IF(B11&lt;&gt;0,((+C11+D11)/B11*100),(IF(C11&lt;&gt;0,1,0)))</f>
        <v>27.012646077264122</v>
      </c>
      <c r="I11" s="160">
        <f>IF($B11&lt;&gt;0,(E11/$B11*100),(IF(E11&lt;&gt;0,1,0)))</f>
        <v>3.781447503745021</v>
      </c>
      <c r="J11" s="160">
        <f aca="true" t="shared" si="3" ref="J11:K15">IF($B11&lt;&gt;0,(F11/$B11*100),(IF(F11&lt;&gt;0,1,0)))</f>
        <v>0</v>
      </c>
      <c r="K11" s="160">
        <f t="shared" si="3"/>
        <v>69.20590641899086</v>
      </c>
    </row>
    <row r="12" spans="1:11" ht="12.75">
      <c r="A12" t="s">
        <v>2</v>
      </c>
      <c r="B12" s="58">
        <f t="shared" si="1"/>
        <v>121815071</v>
      </c>
      <c r="C12" s="357">
        <v>27772427</v>
      </c>
      <c r="D12" s="357">
        <v>319772</v>
      </c>
      <c r="E12" s="153">
        <v>18876476</v>
      </c>
      <c r="F12" s="357">
        <v>0</v>
      </c>
      <c r="G12" s="357">
        <v>74846396</v>
      </c>
      <c r="H12" s="160">
        <f t="shared" si="2"/>
        <v>23.061349280829134</v>
      </c>
      <c r="I12" s="160">
        <f>IF($B12&lt;&gt;0,(E12/$B12*100),(IF(E12&lt;&gt;0,1,0)))</f>
        <v>15.496010341774541</v>
      </c>
      <c r="J12" s="160">
        <f t="shared" si="3"/>
        <v>0</v>
      </c>
      <c r="K12" s="160">
        <f t="shared" si="3"/>
        <v>61.44264037739633</v>
      </c>
    </row>
    <row r="13" spans="1:11" ht="12.75">
      <c r="A13" t="s">
        <v>3</v>
      </c>
      <c r="B13" s="58">
        <f t="shared" si="1"/>
        <v>102270832.78999999</v>
      </c>
      <c r="C13" s="357">
        <v>13612463.89</v>
      </c>
      <c r="D13" s="357">
        <v>71847.21</v>
      </c>
      <c r="E13" s="153">
        <v>18519784.65</v>
      </c>
      <c r="F13" s="357">
        <v>0</v>
      </c>
      <c r="G13" s="357">
        <v>70066737.03999999</v>
      </c>
      <c r="H13" s="160">
        <f>IF(B13&lt;&gt;0,((+C13+D13)/B13*100),(IF(C13&lt;&gt;0,1,0)))</f>
        <v>13.380463155217456</v>
      </c>
      <c r="I13" s="160">
        <f>IF($B13&lt;&gt;0,(E13/$B13*100),(IF(E13&lt;&gt;0,1,0)))</f>
        <v>18.10856932007975</v>
      </c>
      <c r="J13" s="160">
        <f t="shared" si="3"/>
        <v>0</v>
      </c>
      <c r="K13" s="160">
        <f t="shared" si="3"/>
        <v>68.51096752470279</v>
      </c>
    </row>
    <row r="14" spans="1:11" ht="12.75">
      <c r="A14" t="s">
        <v>4</v>
      </c>
      <c r="B14" s="58">
        <f t="shared" si="1"/>
        <v>96744209</v>
      </c>
      <c r="C14" s="357">
        <v>74160817</v>
      </c>
      <c r="D14" s="357">
        <v>0</v>
      </c>
      <c r="E14" s="153">
        <v>22583392</v>
      </c>
      <c r="F14" s="357">
        <v>0</v>
      </c>
      <c r="G14" s="357">
        <v>0</v>
      </c>
      <c r="H14" s="160">
        <f t="shared" si="2"/>
        <v>76.65659553844716</v>
      </c>
      <c r="I14" s="160">
        <f>IF($B14&lt;&gt;0,(E14/$B14*100),(IF(E14&lt;&gt;0,1,0)))</f>
        <v>23.343404461552836</v>
      </c>
      <c r="J14" s="160">
        <f t="shared" si="3"/>
        <v>0</v>
      </c>
      <c r="K14" s="160">
        <f t="shared" si="3"/>
        <v>0</v>
      </c>
    </row>
    <row r="15" spans="1:11" ht="12.75">
      <c r="A15" t="s">
        <v>5</v>
      </c>
      <c r="B15" s="58">
        <f t="shared" si="1"/>
        <v>22021146.439999998</v>
      </c>
      <c r="C15" s="357">
        <v>11236398.52</v>
      </c>
      <c r="D15" s="357">
        <v>120.92</v>
      </c>
      <c r="E15" s="153">
        <v>10784627</v>
      </c>
      <c r="F15" s="357">
        <v>0</v>
      </c>
      <c r="G15" s="357">
        <v>0</v>
      </c>
      <c r="H15" s="160">
        <f t="shared" si="2"/>
        <v>51.02604203925362</v>
      </c>
      <c r="I15" s="160">
        <f>IF($B15&lt;&gt;0,(E15/$B15*100),(IF(E15&lt;&gt;0,1,0)))</f>
        <v>48.9739579607464</v>
      </c>
      <c r="J15" s="160">
        <f t="shared" si="3"/>
        <v>0</v>
      </c>
      <c r="K15" s="160">
        <f t="shared" si="3"/>
        <v>0</v>
      </c>
    </row>
    <row r="16" spans="2:11" ht="12.75">
      <c r="B16" s="58"/>
      <c r="C16" s="357"/>
      <c r="D16" s="357"/>
      <c r="E16" s="153"/>
      <c r="F16" s="357"/>
      <c r="G16" s="357"/>
      <c r="H16" s="160"/>
      <c r="I16" s="160"/>
      <c r="J16" s="160"/>
      <c r="K16" s="160"/>
    </row>
    <row r="17" spans="1:11" ht="12.75">
      <c r="A17" t="s">
        <v>6</v>
      </c>
      <c r="B17" s="58">
        <f t="shared" si="1"/>
        <v>4979092.67</v>
      </c>
      <c r="C17" s="357">
        <v>0</v>
      </c>
      <c r="D17" s="357">
        <v>25784.29</v>
      </c>
      <c r="E17" s="153">
        <v>3870710.32</v>
      </c>
      <c r="F17" s="357">
        <v>0</v>
      </c>
      <c r="G17" s="357">
        <v>1082598.06</v>
      </c>
      <c r="H17" s="160">
        <f t="shared" si="2"/>
        <v>0.5178511770900621</v>
      </c>
      <c r="I17" s="160">
        <f>IF($B17&lt;&gt;0,(E17/$B17*100),(IF(E17&lt;&gt;0,1,0)))</f>
        <v>77.73927051652967</v>
      </c>
      <c r="J17" s="160">
        <f aca="true" t="shared" si="4" ref="J17:K21">IF($B17&lt;&gt;0,(F17/$B17*100),(IF(F17&lt;&gt;0,1,0)))</f>
        <v>0</v>
      </c>
      <c r="K17" s="160">
        <f t="shared" si="4"/>
        <v>21.742878306380266</v>
      </c>
    </row>
    <row r="18" spans="1:11" ht="12.75">
      <c r="A18" t="s">
        <v>7</v>
      </c>
      <c r="B18" s="58">
        <f t="shared" si="1"/>
        <v>8105357.31</v>
      </c>
      <c r="C18" s="357">
        <v>0</v>
      </c>
      <c r="D18" s="357">
        <v>0</v>
      </c>
      <c r="E18" s="153">
        <v>8105357.31</v>
      </c>
      <c r="F18" s="357">
        <v>0</v>
      </c>
      <c r="G18" s="357">
        <v>0</v>
      </c>
      <c r="H18" s="160">
        <f t="shared" si="2"/>
        <v>0</v>
      </c>
      <c r="I18" s="160">
        <f>IF($B18&lt;&gt;0,(E18/$B18*100),(IF(E18&lt;&gt;0,1,0)))</f>
        <v>100</v>
      </c>
      <c r="J18" s="160">
        <f t="shared" si="4"/>
        <v>0</v>
      </c>
      <c r="K18" s="160">
        <f t="shared" si="4"/>
        <v>0</v>
      </c>
    </row>
    <row r="19" spans="1:11" ht="12.75">
      <c r="A19" t="s">
        <v>8</v>
      </c>
      <c r="B19" s="58">
        <f t="shared" si="1"/>
        <v>4613557.25</v>
      </c>
      <c r="C19" s="357">
        <v>4269266.72</v>
      </c>
      <c r="D19" s="357">
        <v>98602.53</v>
      </c>
      <c r="E19" s="153">
        <v>245688</v>
      </c>
      <c r="F19" s="357">
        <v>0</v>
      </c>
      <c r="G19" s="357">
        <v>0</v>
      </c>
      <c r="H19" s="160">
        <f>IF(B19&lt;&gt;0,((+C19+D19)/B19*100),(IF(C19&lt;&gt;0,1,0)))</f>
        <v>94.67465153922171</v>
      </c>
      <c r="I19" s="160">
        <f>IF($B19&lt;&gt;0,(E19/$B19*100),(IF(E19&lt;&gt;0,1,0)))</f>
        <v>5.325348460778286</v>
      </c>
      <c r="J19" s="160">
        <f t="shared" si="4"/>
        <v>0</v>
      </c>
      <c r="K19" s="160">
        <f t="shared" si="4"/>
        <v>0</v>
      </c>
    </row>
    <row r="20" spans="1:11" ht="12.75">
      <c r="A20" t="s">
        <v>9</v>
      </c>
      <c r="B20" s="58">
        <f t="shared" si="1"/>
        <v>12604014.07</v>
      </c>
      <c r="C20" s="357">
        <v>5136439.83</v>
      </c>
      <c r="D20" s="357">
        <v>35.93</v>
      </c>
      <c r="E20" s="153">
        <v>7467538.31</v>
      </c>
      <c r="F20" s="357">
        <v>0</v>
      </c>
      <c r="G20" s="357">
        <v>0</v>
      </c>
      <c r="H20" s="160">
        <f t="shared" si="2"/>
        <v>40.75269776337214</v>
      </c>
      <c r="I20" s="160">
        <f>IF($B20&lt;&gt;0,(E20/$B20*100),(IF(E20&lt;&gt;0,1,0)))</f>
        <v>59.24730223662785</v>
      </c>
      <c r="J20" s="160">
        <f t="shared" si="4"/>
        <v>0</v>
      </c>
      <c r="K20" s="160">
        <f t="shared" si="4"/>
        <v>0</v>
      </c>
    </row>
    <row r="21" spans="1:11" ht="12.75">
      <c r="A21" t="s">
        <v>10</v>
      </c>
      <c r="B21" s="58">
        <f t="shared" si="1"/>
        <v>11826105</v>
      </c>
      <c r="C21" s="357">
        <v>6135272</v>
      </c>
      <c r="D21" s="357">
        <v>0</v>
      </c>
      <c r="E21" s="153">
        <v>5690833</v>
      </c>
      <c r="F21" s="357">
        <v>0</v>
      </c>
      <c r="G21" s="357">
        <v>0</v>
      </c>
      <c r="H21" s="160">
        <f t="shared" si="2"/>
        <v>51.879059081582646</v>
      </c>
      <c r="I21" s="160">
        <f>IF($B21&lt;&gt;0,(E21/$B21*100),(IF(E21&lt;&gt;0,1,0)))</f>
        <v>48.12094091841735</v>
      </c>
      <c r="J21" s="160">
        <f t="shared" si="4"/>
        <v>0</v>
      </c>
      <c r="K21" s="160">
        <f t="shared" si="4"/>
        <v>0</v>
      </c>
    </row>
    <row r="22" spans="2:11" ht="12.75">
      <c r="B22" s="58"/>
      <c r="C22" s="357"/>
      <c r="D22" s="357"/>
      <c r="E22" s="153"/>
      <c r="F22" s="357"/>
      <c r="G22" s="357"/>
      <c r="H22" s="160"/>
      <c r="I22" s="160"/>
      <c r="J22" s="160"/>
      <c r="K22" s="160"/>
    </row>
    <row r="23" spans="1:11" ht="12.75">
      <c r="A23" t="s">
        <v>11</v>
      </c>
      <c r="B23" s="58">
        <f t="shared" si="1"/>
        <v>21262646</v>
      </c>
      <c r="C23" s="357">
        <v>7790715</v>
      </c>
      <c r="D23" s="357">
        <v>1166</v>
      </c>
      <c r="E23" s="153">
        <v>13470765</v>
      </c>
      <c r="F23" s="357">
        <v>0</v>
      </c>
      <c r="G23" s="357">
        <v>0</v>
      </c>
      <c r="H23" s="160">
        <f t="shared" si="2"/>
        <v>36.64586712302881</v>
      </c>
      <c r="I23" s="160">
        <f>IF($B23&lt;&gt;0,(E23/$B23*100),(IF(E23&lt;&gt;0,1,0)))</f>
        <v>63.35413287697119</v>
      </c>
      <c r="J23" s="160">
        <f aca="true" t="shared" si="5" ref="J23:K27">IF($B23&lt;&gt;0,(F23/$B23*100),(IF(F23&lt;&gt;0,1,0)))</f>
        <v>0</v>
      </c>
      <c r="K23" s="160">
        <f t="shared" si="5"/>
        <v>0</v>
      </c>
    </row>
    <row r="24" spans="1:11" ht="12.75">
      <c r="A24" t="s">
        <v>12</v>
      </c>
      <c r="B24" s="58">
        <f t="shared" si="1"/>
        <v>107352.82</v>
      </c>
      <c r="C24" s="357">
        <v>107352.82</v>
      </c>
      <c r="D24" s="357">
        <v>0</v>
      </c>
      <c r="E24" s="153">
        <v>0</v>
      </c>
      <c r="F24" s="357">
        <v>0</v>
      </c>
      <c r="G24" s="357">
        <v>0</v>
      </c>
      <c r="H24" s="160">
        <f t="shared" si="2"/>
        <v>100</v>
      </c>
      <c r="I24" s="160">
        <f>IF($B24&lt;&gt;0,(E24/$B24*100),(IF(E24&lt;&gt;0,1,0)))</f>
        <v>0</v>
      </c>
      <c r="J24" s="160">
        <f t="shared" si="5"/>
        <v>0</v>
      </c>
      <c r="K24" s="160">
        <f t="shared" si="5"/>
        <v>0</v>
      </c>
    </row>
    <row r="25" spans="1:11" ht="12.75">
      <c r="A25" t="s">
        <v>13</v>
      </c>
      <c r="B25" s="58">
        <f t="shared" si="1"/>
        <v>47666945</v>
      </c>
      <c r="C25" s="357">
        <v>30433302</v>
      </c>
      <c r="D25" s="357">
        <v>2483620</v>
      </c>
      <c r="E25" s="153">
        <v>14750023</v>
      </c>
      <c r="F25" s="357">
        <v>0</v>
      </c>
      <c r="G25" s="357">
        <v>0</v>
      </c>
      <c r="H25" s="160">
        <f>IF(B25&lt;&gt;0,((+C25+D25)/B25*100),(IF(C25&lt;&gt;0,1,0)))</f>
        <v>69.05607649074217</v>
      </c>
      <c r="I25" s="160">
        <f>IF($B25&lt;&gt;0,(E25/$B25*100),(IF(E25&lt;&gt;0,1,0)))</f>
        <v>30.943923509257832</v>
      </c>
      <c r="J25" s="160">
        <f t="shared" si="5"/>
        <v>0</v>
      </c>
      <c r="K25" s="160">
        <f t="shared" si="5"/>
        <v>0</v>
      </c>
    </row>
    <row r="26" spans="1:11" ht="12.75">
      <c r="A26" t="s">
        <v>14</v>
      </c>
      <c r="B26" s="58">
        <f t="shared" si="1"/>
        <v>63824658</v>
      </c>
      <c r="C26" s="357">
        <v>57133848</v>
      </c>
      <c r="D26" s="357">
        <v>794</v>
      </c>
      <c r="E26" s="153">
        <v>6690016</v>
      </c>
      <c r="F26" s="357">
        <v>0</v>
      </c>
      <c r="G26" s="357">
        <v>0</v>
      </c>
      <c r="H26" s="160">
        <f>IF(B26&lt;&gt;0,((+C27+D26)/B26*100),(IF(C27&lt;&gt;0,1,0)))</f>
        <v>0.001244033301361364</v>
      </c>
      <c r="I26" s="160">
        <f>IF($B26&lt;&gt;0,(E26/$B26*100),(IF(E26&lt;&gt;0,1,0)))</f>
        <v>10.48186736856467</v>
      </c>
      <c r="J26" s="160">
        <f t="shared" si="5"/>
        <v>0</v>
      </c>
      <c r="K26" s="160">
        <f t="shared" si="5"/>
        <v>0</v>
      </c>
    </row>
    <row r="27" spans="1:11" ht="12.75">
      <c r="A27" t="s">
        <v>15</v>
      </c>
      <c r="B27" s="58">
        <f>SUM(C27:G27)</f>
        <v>0</v>
      </c>
      <c r="C27" s="357">
        <v>0</v>
      </c>
      <c r="D27" s="357">
        <v>0</v>
      </c>
      <c r="E27" s="153">
        <v>0</v>
      </c>
      <c r="F27" s="357">
        <v>0</v>
      </c>
      <c r="G27" s="357">
        <v>0</v>
      </c>
      <c r="H27" s="160">
        <f>IF(B27&lt;&gt;0,((+C28+D27)/B27*100),(IF(C28&lt;&gt;0,1,0)))</f>
        <v>0</v>
      </c>
      <c r="I27" s="160">
        <f>IF($B27&lt;&gt;0,(E27/$B27*100),(IF(E27&lt;&gt;0,1,0)))</f>
        <v>0</v>
      </c>
      <c r="J27" s="160">
        <f t="shared" si="5"/>
        <v>0</v>
      </c>
      <c r="K27" s="160">
        <f t="shared" si="5"/>
        <v>0</v>
      </c>
    </row>
    <row r="28" spans="2:11" ht="12.75">
      <c r="B28" s="58"/>
      <c r="C28" s="82"/>
      <c r="D28" s="82"/>
      <c r="E28" s="153"/>
      <c r="F28" s="357"/>
      <c r="G28" s="357"/>
      <c r="H28" s="160"/>
      <c r="I28" s="160"/>
      <c r="J28" s="160"/>
      <c r="K28" s="160"/>
    </row>
    <row r="29" spans="1:11" ht="12.75">
      <c r="A29" t="s">
        <v>16</v>
      </c>
      <c r="B29" s="58">
        <f t="shared" si="1"/>
        <v>181885149</v>
      </c>
      <c r="C29" s="357">
        <v>149126292</v>
      </c>
      <c r="D29" s="357">
        <v>3357900</v>
      </c>
      <c r="E29" s="153">
        <v>29400957</v>
      </c>
      <c r="F29" s="357">
        <v>0</v>
      </c>
      <c r="G29" s="357">
        <v>0</v>
      </c>
      <c r="H29" s="160">
        <f>IF(B29&lt;&gt;0,((+C30+D30)/B29*100),(IF(C30&lt;&gt;0,1,0)))</f>
        <v>20.499704459103476</v>
      </c>
      <c r="I29" s="160">
        <f>IF($B29&lt;&gt;0,(E29/$B29*100),(IF(E29&lt;&gt;0,1,0)))</f>
        <v>16.164572622693896</v>
      </c>
      <c r="J29" s="160">
        <f aca="true" t="shared" si="6" ref="J29:K33">IF($B29&lt;&gt;0,(F29/$B29*100),(IF(F29&lt;&gt;0,1,0)))</f>
        <v>0</v>
      </c>
      <c r="K29" s="160">
        <f t="shared" si="6"/>
        <v>0</v>
      </c>
    </row>
    <row r="30" spans="1:11" ht="12.75">
      <c r="A30" t="s">
        <v>17</v>
      </c>
      <c r="B30" s="58">
        <f t="shared" si="1"/>
        <v>51374713</v>
      </c>
      <c r="C30" s="357">
        <v>37240956</v>
      </c>
      <c r="D30" s="357">
        <v>44962</v>
      </c>
      <c r="E30" s="153">
        <v>14088795</v>
      </c>
      <c r="F30" s="357">
        <v>0</v>
      </c>
      <c r="G30" s="357">
        <v>0</v>
      </c>
      <c r="H30" s="160">
        <f>IF(B30&lt;&gt;0,((+C31+D31)/B30*100),(IF(C31&lt;&gt;0,1,0)))</f>
        <v>14.25858223285841</v>
      </c>
      <c r="I30" s="160">
        <f>IF($B30&lt;&gt;0,(E30/$B30*100),(IF(E30&lt;&gt;0,1,0)))</f>
        <v>27.423598453970925</v>
      </c>
      <c r="J30" s="160">
        <f t="shared" si="6"/>
        <v>0</v>
      </c>
      <c r="K30" s="160">
        <f t="shared" si="6"/>
        <v>0</v>
      </c>
    </row>
    <row r="31" spans="1:11" ht="12.75">
      <c r="A31" t="s">
        <v>18</v>
      </c>
      <c r="B31" s="58">
        <f t="shared" si="1"/>
        <v>14941858.7</v>
      </c>
      <c r="C31" s="357">
        <v>7302309.95</v>
      </c>
      <c r="D31" s="357">
        <v>22995.75</v>
      </c>
      <c r="E31" s="153">
        <v>7616553</v>
      </c>
      <c r="F31" s="357">
        <v>0</v>
      </c>
      <c r="G31" s="357">
        <v>0</v>
      </c>
      <c r="H31" s="160">
        <f>IF(B31&lt;&gt;0,((+C32+D32)/B31*100),(IF(C32&lt;&gt;0,1,0)))</f>
        <v>24.664516336244034</v>
      </c>
      <c r="I31" s="160">
        <f>IF($B31&lt;&gt;0,(E31/$B31*100),(IF(E31&lt;&gt;0,1,0)))</f>
        <v>50.97460197505414</v>
      </c>
      <c r="J31" s="160">
        <f t="shared" si="6"/>
        <v>0</v>
      </c>
      <c r="K31" s="160">
        <f t="shared" si="6"/>
        <v>0</v>
      </c>
    </row>
    <row r="32" spans="1:11" ht="12.75">
      <c r="A32" t="s">
        <v>19</v>
      </c>
      <c r="B32" s="58">
        <f t="shared" si="1"/>
        <v>10097837.95</v>
      </c>
      <c r="C32" s="357">
        <v>3685300.41</v>
      </c>
      <c r="D32" s="357">
        <v>36.77</v>
      </c>
      <c r="E32" s="153">
        <v>5912500.77</v>
      </c>
      <c r="F32" s="357">
        <v>500000</v>
      </c>
      <c r="G32" s="357">
        <v>0</v>
      </c>
      <c r="H32" s="160">
        <f>IF(B32&lt;&gt;0,((+C32+D32)/B32*100),(IF(C32&lt;&gt;0,1,0)))</f>
        <v>36.49629948755516</v>
      </c>
      <c r="I32" s="160">
        <f>IF($B32&lt;&gt;0,(E32/$B32*100),(IF(E32&lt;&gt;0,1,0)))</f>
        <v>58.55214551150526</v>
      </c>
      <c r="J32" s="160">
        <f t="shared" si="6"/>
        <v>4.951555000939583</v>
      </c>
      <c r="K32" s="160">
        <f t="shared" si="6"/>
        <v>0</v>
      </c>
    </row>
    <row r="33" spans="1:11" ht="12.75">
      <c r="A33" t="s">
        <v>20</v>
      </c>
      <c r="B33" s="58">
        <f t="shared" si="1"/>
        <v>8306163</v>
      </c>
      <c r="C33" s="357">
        <v>2220680</v>
      </c>
      <c r="D33" s="357">
        <v>0</v>
      </c>
      <c r="E33" s="153">
        <v>6085483</v>
      </c>
      <c r="F33" s="357">
        <v>0</v>
      </c>
      <c r="G33" s="357">
        <v>0</v>
      </c>
      <c r="H33" s="160">
        <f t="shared" si="2"/>
        <v>26.735328935875685</v>
      </c>
      <c r="I33" s="160">
        <f>IF($B33&lt;&gt;0,(E33/$B33*100),(IF(E33&lt;&gt;0,1,0)))</f>
        <v>73.26467106412431</v>
      </c>
      <c r="J33" s="160">
        <f t="shared" si="6"/>
        <v>0</v>
      </c>
      <c r="K33" s="160">
        <f t="shared" si="6"/>
        <v>0</v>
      </c>
    </row>
    <row r="34" spans="2:11" ht="12.75">
      <c r="B34" s="58"/>
      <c r="C34" s="357"/>
      <c r="D34" s="357"/>
      <c r="E34" s="153"/>
      <c r="F34" s="357"/>
      <c r="G34" s="357"/>
      <c r="H34" s="160"/>
      <c r="I34" s="160"/>
      <c r="J34" s="160"/>
      <c r="K34" s="160"/>
    </row>
    <row r="35" spans="1:11" ht="12.75">
      <c r="A35" t="s">
        <v>21</v>
      </c>
      <c r="B35" s="58">
        <f t="shared" si="1"/>
        <v>728514.34</v>
      </c>
      <c r="C35" s="357">
        <v>690222.34</v>
      </c>
      <c r="D35" s="357">
        <v>0</v>
      </c>
      <c r="E35" s="153">
        <v>38292</v>
      </c>
      <c r="F35" s="357">
        <v>0</v>
      </c>
      <c r="G35" s="357">
        <v>0</v>
      </c>
      <c r="H35" s="160">
        <f t="shared" si="2"/>
        <v>94.7438234366121</v>
      </c>
      <c r="I35" s="160">
        <f>IF($B35&lt;&gt;0,(E35/$B35*100),(IF(E35&lt;&gt;0,1,0)))</f>
        <v>5.2561765633878945</v>
      </c>
      <c r="J35" s="160">
        <f aca="true" t="shared" si="7" ref="J35:K38">IF($B35&lt;&gt;0,(F35/$B35*100),(IF(F35&lt;&gt;0,1,0)))</f>
        <v>0</v>
      </c>
      <c r="K35" s="160">
        <f t="shared" si="7"/>
        <v>0</v>
      </c>
    </row>
    <row r="36" spans="1:11" ht="12.75">
      <c r="A36" t="s">
        <v>22</v>
      </c>
      <c r="B36" s="58">
        <f t="shared" si="1"/>
        <v>26243642.92</v>
      </c>
      <c r="C36" s="357">
        <v>0</v>
      </c>
      <c r="D36" s="357">
        <v>58427.88</v>
      </c>
      <c r="E36" s="153">
        <v>13436702.61</v>
      </c>
      <c r="F36" s="357">
        <v>0</v>
      </c>
      <c r="G36" s="357">
        <v>12748512.43</v>
      </c>
      <c r="H36" s="160">
        <f t="shared" si="2"/>
        <v>0.2226363168334101</v>
      </c>
      <c r="I36" s="160">
        <f>IF($B36&lt;&gt;0,(E36/$B36*100),(IF(E36&lt;&gt;0,1,0)))</f>
        <v>51.199837808187944</v>
      </c>
      <c r="J36" s="160">
        <f t="shared" si="7"/>
        <v>0</v>
      </c>
      <c r="K36" s="160">
        <f t="shared" si="7"/>
        <v>48.57752587497863</v>
      </c>
    </row>
    <row r="37" spans="1:11" ht="12.75">
      <c r="A37" t="s">
        <v>23</v>
      </c>
      <c r="B37" s="58">
        <f t="shared" si="1"/>
        <v>8785484.6</v>
      </c>
      <c r="C37" s="357">
        <v>0</v>
      </c>
      <c r="D37" s="357">
        <v>0</v>
      </c>
      <c r="E37" s="153">
        <v>7550423.21</v>
      </c>
      <c r="F37" s="357">
        <v>0</v>
      </c>
      <c r="G37" s="357">
        <v>1235061.3900000001</v>
      </c>
      <c r="H37" s="160">
        <f t="shared" si="2"/>
        <v>0</v>
      </c>
      <c r="I37" s="160">
        <f>IF($B37&lt;&gt;0,(E37/$B37*100),(IF(E37&lt;&gt;0,1,0)))</f>
        <v>85.94202316398119</v>
      </c>
      <c r="J37" s="160">
        <f t="shared" si="7"/>
        <v>0</v>
      </c>
      <c r="K37" s="160">
        <f t="shared" si="7"/>
        <v>14.057976836018815</v>
      </c>
    </row>
    <row r="38" spans="1:11" ht="12.75">
      <c r="A38" s="12" t="s">
        <v>24</v>
      </c>
      <c r="B38" s="222">
        <f t="shared" si="1"/>
        <v>8575535.79</v>
      </c>
      <c r="C38" s="359">
        <v>8527523.52</v>
      </c>
      <c r="D38" s="359">
        <v>19.77</v>
      </c>
      <c r="E38" s="155">
        <v>47992.5</v>
      </c>
      <c r="F38" s="359">
        <v>0</v>
      </c>
      <c r="G38" s="359">
        <v>0</v>
      </c>
      <c r="H38" s="360">
        <f t="shared" si="2"/>
        <v>99.44035566785267</v>
      </c>
      <c r="I38" s="360">
        <f>IF($B38&lt;&gt;0,(E38/$B38*100),(IF(E38&lt;&gt;0,1,0)))</f>
        <v>0.5596443321473212</v>
      </c>
      <c r="J38" s="360">
        <f t="shared" si="7"/>
        <v>0</v>
      </c>
      <c r="K38" s="360">
        <f t="shared" si="7"/>
        <v>0</v>
      </c>
    </row>
    <row r="39" spans="1:11" ht="12.75">
      <c r="A39" s="21" t="s">
        <v>206</v>
      </c>
      <c r="B39" s="3"/>
      <c r="C39" s="357"/>
      <c r="D39" s="357"/>
      <c r="E39" s="357"/>
      <c r="F39" s="357"/>
      <c r="G39" s="357"/>
      <c r="H39" s="361"/>
      <c r="I39" s="361"/>
      <c r="J39" s="361"/>
      <c r="K39" s="82"/>
    </row>
    <row r="40" spans="1:11" ht="12.75">
      <c r="A40" s="21"/>
      <c r="C40" s="82"/>
      <c r="D40" s="362"/>
      <c r="E40" s="82"/>
      <c r="F40" s="82"/>
      <c r="G40" s="82"/>
      <c r="H40" s="82"/>
      <c r="I40" s="82"/>
      <c r="J40" s="82"/>
      <c r="K40" s="82"/>
    </row>
    <row r="41" spans="3:11" ht="12.75">
      <c r="C41" s="82"/>
      <c r="D41" s="362"/>
      <c r="E41" s="82"/>
      <c r="F41" s="82"/>
      <c r="G41" s="82"/>
      <c r="H41" s="82"/>
      <c r="I41" s="82"/>
      <c r="J41" s="82"/>
      <c r="K41" s="82"/>
    </row>
    <row r="42" ht="12.75">
      <c r="D42" s="169"/>
    </row>
    <row r="43" ht="12.75">
      <c r="D43" s="169"/>
    </row>
    <row r="44" ht="12.75">
      <c r="D44" s="169"/>
    </row>
    <row r="45" ht="12.75">
      <c r="D45" s="169"/>
    </row>
  </sheetData>
  <sheetProtection password="CAF5" sheet="1" objects="1" scenarios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rintOptions horizontalCentered="1"/>
  <pageMargins left="0.5" right="0.52" top="0.83" bottom="1" header="0.67" footer="0.5"/>
  <pageSetup fitToHeight="1" fitToWidth="1" horizontalDpi="600" verticalDpi="600" orientation="landscape" scale="93" r:id="rId1"/>
  <headerFooter alignWithMargins="0">
    <oddFooter>&amp;L&amp;"Arial,Italic"&amp;9MSDE - LFRO  11 / 2012&amp;C- 4 -&amp;R&amp;"Arial,Italic"&amp;9Selected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5.7109375" style="110" customWidth="1"/>
    <col min="2" max="3" width="14.8515625" style="110" customWidth="1"/>
    <col min="4" max="4" width="13.28125" style="110" customWidth="1"/>
    <col min="5" max="5" width="14.8515625" style="110" customWidth="1"/>
    <col min="6" max="7" width="13.28125" style="110" customWidth="1"/>
    <col min="8" max="8" width="2.7109375" style="110" customWidth="1"/>
    <col min="9" max="11" width="9.140625" style="110" customWidth="1"/>
    <col min="12" max="12" width="11.57421875" style="110" customWidth="1"/>
    <col min="13" max="13" width="9.140625" style="110" customWidth="1"/>
  </cols>
  <sheetData>
    <row r="1" spans="1:13" ht="12.75">
      <c r="A1" s="438" t="s">
        <v>88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82"/>
      <c r="M1" s="82"/>
    </row>
    <row r="2" spans="1:13" ht="12.75">
      <c r="A2" s="170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.75">
      <c r="A3" s="438" t="s">
        <v>289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82"/>
      <c r="M3" s="82"/>
    </row>
    <row r="4" spans="1:13" ht="12.75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82"/>
      <c r="M4" s="82"/>
    </row>
    <row r="5" spans="1:13" ht="13.5" thickBot="1">
      <c r="A5" s="82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82"/>
    </row>
    <row r="6" spans="1:56" ht="15" customHeight="1" thickTop="1">
      <c r="A6" s="146" t="s">
        <v>77</v>
      </c>
      <c r="B6" s="148" t="s">
        <v>43</v>
      </c>
      <c r="C6" s="439" t="s">
        <v>80</v>
      </c>
      <c r="D6" s="439"/>
      <c r="E6" s="439"/>
      <c r="F6" s="439"/>
      <c r="G6" s="172"/>
      <c r="H6" s="172"/>
      <c r="I6" s="439" t="s">
        <v>82</v>
      </c>
      <c r="J6" s="439"/>
      <c r="K6" s="439"/>
      <c r="L6" s="439"/>
      <c r="M6" s="17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13" ht="12.75">
      <c r="A7" s="172" t="s">
        <v>33</v>
      </c>
      <c r="B7" s="149" t="s">
        <v>83</v>
      </c>
      <c r="C7" s="437" t="s">
        <v>77</v>
      </c>
      <c r="D7" s="437"/>
      <c r="E7" s="159"/>
      <c r="F7" s="159"/>
      <c r="G7" s="149" t="s">
        <v>79</v>
      </c>
      <c r="H7" s="149"/>
      <c r="I7" s="148"/>
      <c r="J7" s="148"/>
      <c r="K7" s="148"/>
      <c r="L7" s="148" t="s">
        <v>79</v>
      </c>
      <c r="M7" s="82"/>
    </row>
    <row r="8" spans="1:13" ht="13.5" thickBot="1">
      <c r="A8" s="174" t="s">
        <v>132</v>
      </c>
      <c r="B8" s="150" t="s">
        <v>84</v>
      </c>
      <c r="C8" s="175" t="s">
        <v>78</v>
      </c>
      <c r="D8" s="175" t="s">
        <v>204</v>
      </c>
      <c r="E8" s="175" t="s">
        <v>44</v>
      </c>
      <c r="F8" s="175" t="s">
        <v>51</v>
      </c>
      <c r="G8" s="175" t="s">
        <v>81</v>
      </c>
      <c r="H8" s="175"/>
      <c r="I8" s="150" t="s">
        <v>77</v>
      </c>
      <c r="J8" s="150" t="s">
        <v>44</v>
      </c>
      <c r="K8" s="176" t="s">
        <v>51</v>
      </c>
      <c r="L8" s="175" t="s">
        <v>81</v>
      </c>
      <c r="M8" s="82"/>
    </row>
    <row r="9" spans="1:13" ht="12.75">
      <c r="A9" s="172" t="s">
        <v>0</v>
      </c>
      <c r="B9" s="88">
        <f aca="true" t="shared" si="0" ref="B9:G9">SUM(B11:B38)</f>
        <v>540072936.74</v>
      </c>
      <c r="C9" s="343">
        <f>SUM(C12:C38)</f>
        <v>518845730.96000004</v>
      </c>
      <c r="D9" s="343">
        <f>SUM(D11:D38)</f>
        <v>19994748.78</v>
      </c>
      <c r="E9" s="343">
        <f t="shared" si="0"/>
        <v>0</v>
      </c>
      <c r="F9" s="343">
        <f t="shared" si="0"/>
        <v>0</v>
      </c>
      <c r="G9" s="343">
        <f t="shared" si="0"/>
        <v>1232457</v>
      </c>
      <c r="H9" s="88"/>
      <c r="I9" s="177">
        <f>IF(B9&lt;&gt;0,((+C9+D9)/B9),(IF(C9&lt;&gt;0,1,0)))</f>
        <v>0.9977179804501233</v>
      </c>
      <c r="J9" s="177">
        <f>IF($B9&lt;&gt;0,(E9/$B9),(IF(E9&lt;&gt;0,1,0)))</f>
        <v>0</v>
      </c>
      <c r="K9" s="177">
        <f>IF($B9&lt;&gt;0,(F9/$B9),(IF(F9&lt;&gt;0,1,0)))</f>
        <v>0</v>
      </c>
      <c r="L9" s="177">
        <f>IF($B9&lt;&gt;0,(G9/$B9),(IF(G9&lt;&gt;0,1,0)))</f>
        <v>0.0022820195498766955</v>
      </c>
      <c r="M9" s="82"/>
    </row>
    <row r="10" spans="1:13" ht="12.75">
      <c r="A10" s="172"/>
      <c r="B10" s="159"/>
      <c r="C10" s="301"/>
      <c r="D10" s="223"/>
      <c r="E10" s="251"/>
      <c r="F10" s="251"/>
      <c r="G10" s="251"/>
      <c r="H10" s="148"/>
      <c r="I10" s="178"/>
      <c r="J10" s="178"/>
      <c r="K10" s="160"/>
      <c r="L10" s="160"/>
      <c r="M10" s="82"/>
    </row>
    <row r="11" spans="1:12" ht="12.75">
      <c r="A11" s="82" t="s">
        <v>1</v>
      </c>
      <c r="B11" s="147">
        <f aca="true" t="shared" si="1" ref="B11:B33">SUM(C11:G11)</f>
        <v>1867816</v>
      </c>
      <c r="C11" s="154">
        <v>0</v>
      </c>
      <c r="D11" s="154">
        <v>1867816</v>
      </c>
      <c r="E11" s="223">
        <v>0</v>
      </c>
      <c r="F11" s="223">
        <v>0</v>
      </c>
      <c r="G11" s="223">
        <v>0</v>
      </c>
      <c r="H11" s="111"/>
      <c r="I11" s="113">
        <f aca="true" t="shared" si="2" ref="I11:I38">IF(B11&lt;&gt;0,((+C11+D11)/B11*100),(IF(C11&lt;&gt;0,1,0)))</f>
        <v>100</v>
      </c>
      <c r="J11" s="113">
        <f>IF($B11&lt;&gt;0,(E11/$B11*100),(IF(E11&lt;&gt;0,1,0)))</f>
        <v>0</v>
      </c>
      <c r="K11" s="113">
        <f aca="true" t="shared" si="3" ref="K11:L15">IF($B11&lt;&gt;0,(F11/$B11*100),(IF(F11&lt;&gt;0,1,0)))</f>
        <v>0</v>
      </c>
      <c r="L11" s="113">
        <f t="shared" si="3"/>
        <v>0</v>
      </c>
    </row>
    <row r="12" spans="1:12" ht="12.75">
      <c r="A12" s="110" t="s">
        <v>2</v>
      </c>
      <c r="B12" s="111">
        <f t="shared" si="1"/>
        <v>40931728</v>
      </c>
      <c r="C12" s="358">
        <v>40931728</v>
      </c>
      <c r="D12" s="154">
        <v>0</v>
      </c>
      <c r="E12" s="223">
        <v>0</v>
      </c>
      <c r="F12" s="223">
        <v>0</v>
      </c>
      <c r="G12" s="223">
        <v>0</v>
      </c>
      <c r="H12" s="114"/>
      <c r="I12" s="113">
        <f t="shared" si="2"/>
        <v>100</v>
      </c>
      <c r="J12" s="113">
        <f>IF($B12&lt;&gt;0,(E12/$B12*100),(IF(E12&lt;&gt;0,1,0)))</f>
        <v>0</v>
      </c>
      <c r="K12" s="113">
        <f t="shared" si="3"/>
        <v>0</v>
      </c>
      <c r="L12" s="113">
        <f t="shared" si="3"/>
        <v>0</v>
      </c>
    </row>
    <row r="13" spans="1:12" ht="12.75">
      <c r="A13" s="110" t="s">
        <v>205</v>
      </c>
      <c r="B13" s="111">
        <f t="shared" si="1"/>
        <v>8412972.19</v>
      </c>
      <c r="C13" s="154">
        <v>8412972.19</v>
      </c>
      <c r="D13" s="154">
        <v>0</v>
      </c>
      <c r="E13" s="223">
        <v>0</v>
      </c>
      <c r="F13" s="223">
        <v>0</v>
      </c>
      <c r="G13" s="346">
        <v>0</v>
      </c>
      <c r="H13" s="114"/>
      <c r="I13" s="113">
        <f t="shared" si="2"/>
        <v>100</v>
      </c>
      <c r="J13" s="113">
        <f>IF($B13&lt;&gt;0,(E13/$B13*100),(IF(E13&lt;&gt;0,1,0)))</f>
        <v>0</v>
      </c>
      <c r="K13" s="113">
        <f t="shared" si="3"/>
        <v>0</v>
      </c>
      <c r="L13" s="113">
        <f t="shared" si="3"/>
        <v>0</v>
      </c>
    </row>
    <row r="14" spans="1:12" ht="12.75">
      <c r="A14" s="110" t="s">
        <v>4</v>
      </c>
      <c r="B14" s="111">
        <f t="shared" si="1"/>
        <v>31428019</v>
      </c>
      <c r="C14" s="358">
        <v>31428019</v>
      </c>
      <c r="D14" s="154">
        <v>0</v>
      </c>
      <c r="E14" s="223">
        <v>0</v>
      </c>
      <c r="F14" s="223">
        <v>0</v>
      </c>
      <c r="G14" s="223">
        <v>0</v>
      </c>
      <c r="H14" s="114"/>
      <c r="I14" s="113">
        <f t="shared" si="2"/>
        <v>100</v>
      </c>
      <c r="J14" s="113">
        <f>IF($B14&lt;&gt;0,(E14/$B14*100),(IF(E14&lt;&gt;0,1,0)))</f>
        <v>0</v>
      </c>
      <c r="K14" s="113">
        <f t="shared" si="3"/>
        <v>0</v>
      </c>
      <c r="L14" s="113">
        <f t="shared" si="3"/>
        <v>0</v>
      </c>
    </row>
    <row r="15" spans="1:12" ht="12.75">
      <c r="A15" s="110" t="s">
        <v>5</v>
      </c>
      <c r="B15" s="111">
        <f t="shared" si="1"/>
        <v>5953977</v>
      </c>
      <c r="C15" s="358">
        <v>5953977</v>
      </c>
      <c r="D15" s="154">
        <v>0</v>
      </c>
      <c r="E15" s="223">
        <v>0</v>
      </c>
      <c r="F15" s="223">
        <v>0</v>
      </c>
      <c r="G15" s="223">
        <v>0</v>
      </c>
      <c r="H15" s="114"/>
      <c r="I15" s="113">
        <f t="shared" si="2"/>
        <v>100</v>
      </c>
      <c r="J15" s="113">
        <f>IF($B15&lt;&gt;0,(E15/$B15*100),(IF(E15&lt;&gt;0,1,0)))</f>
        <v>0</v>
      </c>
      <c r="K15" s="113">
        <f t="shared" si="3"/>
        <v>0</v>
      </c>
      <c r="L15" s="113">
        <f t="shared" si="3"/>
        <v>0</v>
      </c>
    </row>
    <row r="16" spans="2:12" ht="12.75">
      <c r="B16" s="111"/>
      <c r="C16" s="357"/>
      <c r="D16" s="154"/>
      <c r="E16" s="223"/>
      <c r="F16" s="223"/>
      <c r="G16" s="223"/>
      <c r="H16" s="114"/>
      <c r="I16" s="113"/>
      <c r="J16" s="113"/>
      <c r="K16" s="113"/>
      <c r="L16" s="113"/>
    </row>
    <row r="17" spans="1:12" ht="12.75">
      <c r="A17" s="110" t="s">
        <v>6</v>
      </c>
      <c r="B17" s="111">
        <f t="shared" si="1"/>
        <v>1927254.89</v>
      </c>
      <c r="C17" s="154">
        <v>0</v>
      </c>
      <c r="D17" s="357">
        <v>1927254.89</v>
      </c>
      <c r="E17" s="223">
        <v>0</v>
      </c>
      <c r="F17" s="223">
        <v>0</v>
      </c>
      <c r="G17" s="223">
        <v>0</v>
      </c>
      <c r="H17" s="114"/>
      <c r="I17" s="113">
        <f t="shared" si="2"/>
        <v>100</v>
      </c>
      <c r="J17" s="113">
        <f>IF($B17&lt;&gt;0,(E17/$B17*100),(IF(E17&lt;&gt;0,1,0)))</f>
        <v>0</v>
      </c>
      <c r="K17" s="113">
        <f aca="true" t="shared" si="4" ref="K17:L21">IF($B17&lt;&gt;0,(F17/$B17*100),(IF(F17&lt;&gt;0,1,0)))</f>
        <v>0</v>
      </c>
      <c r="L17" s="113">
        <f t="shared" si="4"/>
        <v>0</v>
      </c>
    </row>
    <row r="18" spans="1:12" ht="12.75">
      <c r="A18" s="110" t="s">
        <v>7</v>
      </c>
      <c r="B18" s="111">
        <f t="shared" si="1"/>
        <v>11686345.49</v>
      </c>
      <c r="C18" s="357">
        <v>11686345.49</v>
      </c>
      <c r="D18" s="154">
        <v>0</v>
      </c>
      <c r="E18" s="223">
        <v>0</v>
      </c>
      <c r="F18" s="223">
        <v>0</v>
      </c>
      <c r="G18" s="223">
        <v>0</v>
      </c>
      <c r="H18" s="114"/>
      <c r="I18" s="113">
        <f t="shared" si="2"/>
        <v>100</v>
      </c>
      <c r="J18" s="113">
        <f>IF($B18&lt;&gt;0,(E18/$B18*100),(IF(E18&lt;&gt;0,1,0)))</f>
        <v>0</v>
      </c>
      <c r="K18" s="113">
        <f t="shared" si="4"/>
        <v>0</v>
      </c>
      <c r="L18" s="113">
        <f t="shared" si="4"/>
        <v>0</v>
      </c>
    </row>
    <row r="19" spans="1:12" ht="12.75">
      <c r="A19" s="110" t="s">
        <v>8</v>
      </c>
      <c r="B19" s="111">
        <f t="shared" si="1"/>
        <v>9043193</v>
      </c>
      <c r="C19" s="154">
        <v>0</v>
      </c>
      <c r="D19" s="154">
        <v>9043193</v>
      </c>
      <c r="E19" s="223">
        <v>0</v>
      </c>
      <c r="F19" s="223">
        <v>0</v>
      </c>
      <c r="G19" s="223">
        <v>0</v>
      </c>
      <c r="H19" s="114"/>
      <c r="I19" s="113">
        <f>IF(B19&lt;&gt;0,((+C19+D19)/B19*100),(IF(C19&lt;&gt;0,1,0)))</f>
        <v>100</v>
      </c>
      <c r="J19" s="113">
        <f>IF($B19&lt;&gt;0,(E19/$B19*100),(IF(E19&lt;&gt;0,1,0)))</f>
        <v>0</v>
      </c>
      <c r="K19" s="113">
        <f t="shared" si="4"/>
        <v>0</v>
      </c>
      <c r="L19" s="113">
        <f t="shared" si="4"/>
        <v>0</v>
      </c>
    </row>
    <row r="20" spans="1:12" ht="12.75">
      <c r="A20" s="110" t="s">
        <v>9</v>
      </c>
      <c r="B20" s="111">
        <f t="shared" si="1"/>
        <v>14740105</v>
      </c>
      <c r="C20" s="357">
        <v>14740105</v>
      </c>
      <c r="D20" s="154">
        <v>0</v>
      </c>
      <c r="E20" s="223">
        <v>0</v>
      </c>
      <c r="F20" s="223">
        <v>0</v>
      </c>
      <c r="G20" s="223">
        <v>0</v>
      </c>
      <c r="H20" s="114"/>
      <c r="I20" s="113">
        <f t="shared" si="2"/>
        <v>100</v>
      </c>
      <c r="J20" s="113">
        <f>IF($B20&lt;&gt;0,(E20/$B20*100),(IF(E20&lt;&gt;0,1,0)))</f>
        <v>0</v>
      </c>
      <c r="K20" s="113">
        <f t="shared" si="4"/>
        <v>0</v>
      </c>
      <c r="L20" s="113">
        <f t="shared" si="4"/>
        <v>0</v>
      </c>
    </row>
    <row r="21" spans="1:12" ht="12.75">
      <c r="A21" s="110" t="s">
        <v>10</v>
      </c>
      <c r="B21" s="111">
        <f t="shared" si="1"/>
        <v>2348890</v>
      </c>
      <c r="C21" s="357">
        <v>2348890</v>
      </c>
      <c r="D21" s="154">
        <v>0</v>
      </c>
      <c r="E21" s="223">
        <v>0</v>
      </c>
      <c r="F21" s="223">
        <v>0</v>
      </c>
      <c r="G21" s="223">
        <v>0</v>
      </c>
      <c r="H21" s="114"/>
      <c r="I21" s="113">
        <f t="shared" si="2"/>
        <v>100</v>
      </c>
      <c r="J21" s="113">
        <f>IF($B21&lt;&gt;0,(E21/$B21*100),(IF(E21&lt;&gt;0,1,0)))</f>
        <v>0</v>
      </c>
      <c r="K21" s="113">
        <f t="shared" si="4"/>
        <v>0</v>
      </c>
      <c r="L21" s="113">
        <f t="shared" si="4"/>
        <v>0</v>
      </c>
    </row>
    <row r="22" spans="2:12" ht="12.75">
      <c r="B22" s="111"/>
      <c r="C22" s="357"/>
      <c r="D22" s="154"/>
      <c r="E22" s="223"/>
      <c r="F22" s="223"/>
      <c r="G22" s="223"/>
      <c r="H22" s="114"/>
      <c r="I22" s="113"/>
      <c r="J22" s="113"/>
      <c r="K22" s="113"/>
      <c r="L22" s="113"/>
    </row>
    <row r="23" spans="1:12" ht="12.75">
      <c r="A23" s="110" t="s">
        <v>11</v>
      </c>
      <c r="B23" s="111">
        <f t="shared" si="1"/>
        <v>29263740</v>
      </c>
      <c r="C23" s="357">
        <v>29263740</v>
      </c>
      <c r="D23" s="154">
        <v>0</v>
      </c>
      <c r="E23" s="223">
        <v>0</v>
      </c>
      <c r="F23" s="223">
        <v>0</v>
      </c>
      <c r="G23" s="223">
        <v>0</v>
      </c>
      <c r="H23" s="114"/>
      <c r="I23" s="113">
        <f t="shared" si="2"/>
        <v>100</v>
      </c>
      <c r="J23" s="113">
        <f>IF($B23&lt;&gt;0,(E23/$B23*100),(IF(E23&lt;&gt;0,1,0)))</f>
        <v>0</v>
      </c>
      <c r="K23" s="113">
        <f aca="true" t="shared" si="5" ref="K23:L27">IF($B23&lt;&gt;0,(F23/$B23*100),(IF(F23&lt;&gt;0,1,0)))</f>
        <v>0</v>
      </c>
      <c r="L23" s="113">
        <f t="shared" si="5"/>
        <v>0</v>
      </c>
    </row>
    <row r="24" spans="1:12" ht="12.75">
      <c r="A24" s="110" t="s">
        <v>12</v>
      </c>
      <c r="B24" s="111">
        <f t="shared" si="1"/>
        <v>1104391.89</v>
      </c>
      <c r="C24" s="154">
        <v>0</v>
      </c>
      <c r="D24" s="154">
        <v>1104391.89</v>
      </c>
      <c r="E24" s="223">
        <v>0</v>
      </c>
      <c r="F24" s="223">
        <v>0</v>
      </c>
      <c r="G24" s="223">
        <v>0</v>
      </c>
      <c r="H24" s="114"/>
      <c r="I24" s="113">
        <f t="shared" si="2"/>
        <v>100</v>
      </c>
      <c r="J24" s="113">
        <f>IF($B24&lt;&gt;0,(E24/$B24*100),(IF(E24&lt;&gt;0,1,0)))</f>
        <v>0</v>
      </c>
      <c r="K24" s="113">
        <f t="shared" si="5"/>
        <v>0</v>
      </c>
      <c r="L24" s="113">
        <f t="shared" si="5"/>
        <v>0</v>
      </c>
    </row>
    <row r="25" spans="1:12" ht="12.75">
      <c r="A25" s="110" t="s">
        <v>13</v>
      </c>
      <c r="B25" s="111">
        <f t="shared" si="1"/>
        <v>22576521.28</v>
      </c>
      <c r="C25" s="368">
        <v>22576521.28</v>
      </c>
      <c r="D25" s="154">
        <v>0</v>
      </c>
      <c r="E25" s="223">
        <v>0</v>
      </c>
      <c r="F25" s="223">
        <v>0</v>
      </c>
      <c r="G25" s="223">
        <v>0</v>
      </c>
      <c r="H25" s="114"/>
      <c r="I25" s="113">
        <f>IF(B25&lt;&gt;0,((+C25+D25)/B25*100),(IF(C25&lt;&gt;0,1,0)))</f>
        <v>100</v>
      </c>
      <c r="J25" s="113">
        <f>IF($B25&lt;&gt;0,(E25/$B25*100),(IF(E25&lt;&gt;0,1,0)))</f>
        <v>0</v>
      </c>
      <c r="K25" s="113">
        <f t="shared" si="5"/>
        <v>0</v>
      </c>
      <c r="L25" s="113">
        <f t="shared" si="5"/>
        <v>0</v>
      </c>
    </row>
    <row r="26" spans="1:12" ht="12.75">
      <c r="A26" s="110" t="s">
        <v>14</v>
      </c>
      <c r="B26" s="111">
        <f t="shared" si="1"/>
        <v>39116560</v>
      </c>
      <c r="C26" s="170">
        <v>39116560</v>
      </c>
      <c r="D26" s="154">
        <v>0</v>
      </c>
      <c r="E26" s="223">
        <v>0</v>
      </c>
      <c r="F26" s="223">
        <v>0</v>
      </c>
      <c r="G26" s="223">
        <v>0</v>
      </c>
      <c r="H26" s="114"/>
      <c r="I26" s="113">
        <f t="shared" si="2"/>
        <v>100</v>
      </c>
      <c r="J26" s="113">
        <f>IF($B26&lt;&gt;0,(E26/$B26*100),(IF(E26&lt;&gt;0,1,0)))</f>
        <v>0</v>
      </c>
      <c r="K26" s="113">
        <f t="shared" si="5"/>
        <v>0</v>
      </c>
      <c r="L26" s="113">
        <f t="shared" si="5"/>
        <v>0</v>
      </c>
    </row>
    <row r="27" spans="1:12" ht="12.75">
      <c r="A27" s="110" t="s">
        <v>15</v>
      </c>
      <c r="B27" s="111">
        <f t="shared" si="1"/>
        <v>0</v>
      </c>
      <c r="C27" s="154">
        <v>0</v>
      </c>
      <c r="D27" s="405">
        <v>0</v>
      </c>
      <c r="E27" s="223">
        <v>0</v>
      </c>
      <c r="F27" s="223">
        <v>0</v>
      </c>
      <c r="G27" s="223">
        <v>0</v>
      </c>
      <c r="H27" s="114"/>
      <c r="I27" s="113">
        <f t="shared" si="2"/>
        <v>0</v>
      </c>
      <c r="J27" s="113">
        <f>IF($B27&lt;&gt;0,(E27/$B27*100),(IF(E27&lt;&gt;0,1,0)))</f>
        <v>0</v>
      </c>
      <c r="K27" s="113">
        <f t="shared" si="5"/>
        <v>0</v>
      </c>
      <c r="L27" s="113">
        <f t="shared" si="5"/>
        <v>0</v>
      </c>
    </row>
    <row r="28" spans="2:12" ht="12.75">
      <c r="B28" s="111"/>
      <c r="C28" s="357"/>
      <c r="D28" s="154"/>
      <c r="E28" s="223"/>
      <c r="F28" s="223"/>
      <c r="G28" s="223"/>
      <c r="H28" s="114"/>
      <c r="I28" s="113"/>
      <c r="J28" s="113"/>
      <c r="K28" s="113"/>
      <c r="L28" s="113"/>
    </row>
    <row r="29" spans="1:12" ht="12.75">
      <c r="A29" s="110" t="s">
        <v>16</v>
      </c>
      <c r="B29" s="111">
        <f t="shared" si="1"/>
        <v>220891248</v>
      </c>
      <c r="C29" s="357">
        <v>218539292</v>
      </c>
      <c r="D29" s="358">
        <v>2351956</v>
      </c>
      <c r="E29" s="223">
        <v>0</v>
      </c>
      <c r="F29" s="223">
        <v>0</v>
      </c>
      <c r="G29" s="223">
        <v>0</v>
      </c>
      <c r="H29" s="114"/>
      <c r="I29" s="113">
        <f t="shared" si="2"/>
        <v>100</v>
      </c>
      <c r="J29" s="113">
        <f>IF($B29&lt;&gt;0,(E29/$B29*100),(IF(E29&lt;&gt;0,1,0)))</f>
        <v>0</v>
      </c>
      <c r="K29" s="113">
        <f aca="true" t="shared" si="6" ref="K29:L33">IF($B29&lt;&gt;0,(F29/$B29*100),(IF(F29&lt;&gt;0,1,0)))</f>
        <v>0</v>
      </c>
      <c r="L29" s="113">
        <f t="shared" si="6"/>
        <v>0</v>
      </c>
    </row>
    <row r="30" spans="1:12" ht="12.75">
      <c r="A30" s="110" t="s">
        <v>17</v>
      </c>
      <c r="B30" s="111">
        <f t="shared" si="1"/>
        <v>53899512</v>
      </c>
      <c r="C30" s="357">
        <v>53899512</v>
      </c>
      <c r="D30" s="154">
        <v>0</v>
      </c>
      <c r="E30" s="223">
        <v>0</v>
      </c>
      <c r="F30" s="223">
        <v>0</v>
      </c>
      <c r="G30" s="223">
        <v>0</v>
      </c>
      <c r="H30" s="114"/>
      <c r="I30" s="113">
        <f t="shared" si="2"/>
        <v>100</v>
      </c>
      <c r="J30" s="113">
        <f>IF($B30&lt;&gt;0,(E30/$B30*100),(IF(E30&lt;&gt;0,1,0)))</f>
        <v>0</v>
      </c>
      <c r="K30" s="113">
        <f t="shared" si="6"/>
        <v>0</v>
      </c>
      <c r="L30" s="113">
        <f t="shared" si="6"/>
        <v>0</v>
      </c>
    </row>
    <row r="31" spans="1:12" ht="12.75">
      <c r="A31" s="110" t="s">
        <v>18</v>
      </c>
      <c r="B31" s="111">
        <f t="shared" si="1"/>
        <v>6711535</v>
      </c>
      <c r="C31" s="357">
        <v>6711535</v>
      </c>
      <c r="D31" s="154">
        <v>0</v>
      </c>
      <c r="E31" s="223">
        <v>0</v>
      </c>
      <c r="F31" s="223">
        <v>0</v>
      </c>
      <c r="G31" s="223">
        <v>0</v>
      </c>
      <c r="H31" s="114"/>
      <c r="I31" s="113">
        <f>IF(B31&lt;&gt;0,((+C31+D31)/B31*100),(IF(C31&lt;&gt;0,1,0)))</f>
        <v>100</v>
      </c>
      <c r="J31" s="113">
        <f>IF($B31&lt;&gt;0,(E31/$B31*100),(IF(E31&lt;&gt;0,1,0)))</f>
        <v>0</v>
      </c>
      <c r="K31" s="113">
        <f t="shared" si="6"/>
        <v>0</v>
      </c>
      <c r="L31" s="113">
        <f t="shared" si="6"/>
        <v>0</v>
      </c>
    </row>
    <row r="32" spans="1:12" ht="12.75">
      <c r="A32" s="110" t="s">
        <v>19</v>
      </c>
      <c r="B32" s="111">
        <f t="shared" si="1"/>
        <v>7301399</v>
      </c>
      <c r="C32" s="357">
        <v>7301399</v>
      </c>
      <c r="D32" s="154">
        <v>0</v>
      </c>
      <c r="E32" s="223">
        <v>0</v>
      </c>
      <c r="F32" s="223">
        <v>0</v>
      </c>
      <c r="G32" s="223">
        <v>0</v>
      </c>
      <c r="H32" s="114"/>
      <c r="I32" s="113">
        <f t="shared" si="2"/>
        <v>100</v>
      </c>
      <c r="J32" s="113">
        <f>IF($B32&lt;&gt;0,(E32/$B32*100),(IF(E32&lt;&gt;0,1,0)))</f>
        <v>0</v>
      </c>
      <c r="K32" s="113">
        <f t="shared" si="6"/>
        <v>0</v>
      </c>
      <c r="L32" s="113">
        <f t="shared" si="6"/>
        <v>0</v>
      </c>
    </row>
    <row r="33" spans="1:12" ht="12.75">
      <c r="A33" s="110" t="s">
        <v>20</v>
      </c>
      <c r="B33" s="111">
        <f t="shared" si="1"/>
        <v>1232457</v>
      </c>
      <c r="C33" s="357">
        <v>0</v>
      </c>
      <c r="D33" s="154">
        <v>0</v>
      </c>
      <c r="E33" s="223">
        <v>0</v>
      </c>
      <c r="F33" s="223">
        <v>0</v>
      </c>
      <c r="G33" s="408">
        <v>1232457</v>
      </c>
      <c r="H33" s="114"/>
      <c r="I33" s="113">
        <f t="shared" si="2"/>
        <v>0</v>
      </c>
      <c r="J33" s="113">
        <f>IF($B33&lt;&gt;0,(E33/$B33*100),(IF(E33&lt;&gt;0,1,0)))</f>
        <v>0</v>
      </c>
      <c r="K33" s="113">
        <f t="shared" si="6"/>
        <v>0</v>
      </c>
      <c r="L33" s="113">
        <f t="shared" si="6"/>
        <v>100</v>
      </c>
    </row>
    <row r="34" spans="2:12" ht="12.75">
      <c r="B34" s="111"/>
      <c r="C34" s="357"/>
      <c r="D34" s="154"/>
      <c r="E34" s="223"/>
      <c r="F34" s="223"/>
      <c r="G34" s="223"/>
      <c r="H34" s="114"/>
      <c r="I34" s="113"/>
      <c r="J34" s="113"/>
      <c r="K34" s="113"/>
      <c r="L34" s="113"/>
    </row>
    <row r="35" spans="1:12" ht="12.75">
      <c r="A35" s="110" t="s">
        <v>21</v>
      </c>
      <c r="B35" s="111">
        <f>SUM(C35:G35)</f>
        <v>3700137</v>
      </c>
      <c r="C35" s="357">
        <v>0</v>
      </c>
      <c r="D35" s="154">
        <v>3700137</v>
      </c>
      <c r="E35" s="223">
        <v>0</v>
      </c>
      <c r="F35" s="223">
        <v>0</v>
      </c>
      <c r="G35" s="223">
        <v>0</v>
      </c>
      <c r="H35" s="114"/>
      <c r="I35" s="113">
        <f t="shared" si="2"/>
        <v>100</v>
      </c>
      <c r="J35" s="113">
        <f>IF($B35&lt;&gt;0,(E35/$B35*100),(IF(E35&lt;&gt;0,1,0)))</f>
        <v>0</v>
      </c>
      <c r="K35" s="113">
        <f aca="true" t="shared" si="7" ref="K35:L38">IF($B35&lt;&gt;0,(F35/$B35*100),(IF(F35&lt;&gt;0,1,0)))</f>
        <v>0</v>
      </c>
      <c r="L35" s="113">
        <f t="shared" si="7"/>
        <v>0</v>
      </c>
    </row>
    <row r="36" spans="1:12" ht="12.75">
      <c r="A36" s="110" t="s">
        <v>22</v>
      </c>
      <c r="B36" s="111">
        <f>SUM(C36:G36)</f>
        <v>5817798</v>
      </c>
      <c r="C36" s="357">
        <v>5817798</v>
      </c>
      <c r="D36" s="154">
        <v>0</v>
      </c>
      <c r="E36" s="223">
        <v>0</v>
      </c>
      <c r="F36" s="223">
        <v>0</v>
      </c>
      <c r="G36" s="223">
        <v>0</v>
      </c>
      <c r="H36" s="114"/>
      <c r="I36" s="113">
        <f t="shared" si="2"/>
        <v>100</v>
      </c>
      <c r="J36" s="113">
        <f>IF($B36&lt;&gt;0,(E36/$B36*100),(IF(E36&lt;&gt;0,1,0)))</f>
        <v>0</v>
      </c>
      <c r="K36" s="113">
        <f t="shared" si="7"/>
        <v>0</v>
      </c>
      <c r="L36" s="113">
        <f t="shared" si="7"/>
        <v>0</v>
      </c>
    </row>
    <row r="37" spans="1:12" ht="12.75">
      <c r="A37" s="110" t="s">
        <v>23</v>
      </c>
      <c r="B37" s="114">
        <f>SUM(C37:G37)</f>
        <v>10932934</v>
      </c>
      <c r="C37" s="357">
        <v>10932934</v>
      </c>
      <c r="D37" s="154">
        <v>0</v>
      </c>
      <c r="E37" s="223">
        <v>0</v>
      </c>
      <c r="F37" s="223">
        <v>0</v>
      </c>
      <c r="G37" s="223">
        <v>0</v>
      </c>
      <c r="H37" s="114"/>
      <c r="I37" s="113">
        <f t="shared" si="2"/>
        <v>100</v>
      </c>
      <c r="J37" s="113">
        <f>IF($B37&lt;&gt;0,(E37/$B37*100),(IF(E37&lt;&gt;0,1,0)))</f>
        <v>0</v>
      </c>
      <c r="K37" s="113">
        <f t="shared" si="7"/>
        <v>0</v>
      </c>
      <c r="L37" s="113">
        <f t="shared" si="7"/>
        <v>0</v>
      </c>
    </row>
    <row r="38" spans="1:12" ht="12.75">
      <c r="A38" s="116" t="s">
        <v>24</v>
      </c>
      <c r="B38" s="117">
        <f>SUM(C38:G38)</f>
        <v>9184403</v>
      </c>
      <c r="C38" s="359">
        <v>9184403</v>
      </c>
      <c r="D38" s="155">
        <v>0</v>
      </c>
      <c r="E38" s="224">
        <v>0</v>
      </c>
      <c r="F38" s="224">
        <v>0</v>
      </c>
      <c r="G38" s="224">
        <v>0</v>
      </c>
      <c r="H38" s="117"/>
      <c r="I38" s="119">
        <f t="shared" si="2"/>
        <v>100</v>
      </c>
      <c r="J38" s="119">
        <f>IF($B38&lt;&gt;0,(E38/$B38*100),(IF(E38&lt;&gt;0,1,0)))</f>
        <v>0</v>
      </c>
      <c r="K38" s="119">
        <f t="shared" si="7"/>
        <v>0</v>
      </c>
      <c r="L38" s="119">
        <f t="shared" si="7"/>
        <v>0</v>
      </c>
    </row>
    <row r="39" spans="4:12" ht="12.75">
      <c r="D39" s="114"/>
      <c r="I39" s="164"/>
      <c r="J39" s="109"/>
      <c r="K39" s="109"/>
      <c r="L39" s="109"/>
    </row>
    <row r="40" spans="1:5" ht="12.75">
      <c r="A40" s="110" t="s">
        <v>207</v>
      </c>
      <c r="D40" s="114"/>
      <c r="E40" s="154"/>
    </row>
    <row r="41" spans="1:4" ht="12.75">
      <c r="A41" s="110" t="s">
        <v>208</v>
      </c>
      <c r="D41" s="114"/>
    </row>
    <row r="42" spans="1:4" ht="12.75">
      <c r="A42" s="161" t="s">
        <v>282</v>
      </c>
      <c r="D42" s="114"/>
    </row>
    <row r="43" ht="12.75">
      <c r="D43" s="114"/>
    </row>
  </sheetData>
  <sheetProtection password="CAF5" sheet="1" objects="1" scenarios="1"/>
  <mergeCells count="6">
    <mergeCell ref="C7:D7"/>
    <mergeCell ref="A1:K1"/>
    <mergeCell ref="A3:K3"/>
    <mergeCell ref="A4:K4"/>
    <mergeCell ref="C6:F6"/>
    <mergeCell ref="I6:L6"/>
  </mergeCells>
  <printOptions horizontalCentered="1"/>
  <pageMargins left="0.59" right="0.59" top="0.83" bottom="1" header="0.67" footer="0.5"/>
  <pageSetup fitToHeight="1" fitToWidth="1" horizontalDpi="600" verticalDpi="600" orientation="landscape" scale="90" r:id="rId1"/>
  <headerFooter alignWithMargins="0">
    <oddFooter>&amp;L&amp;"Arial,Italic"&amp;9MSDE - LFRO  11 / 2012&amp;C- 5 -&amp;R&amp;"Arial,Italic"&amp;9Selected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zoomScalePageLayoutView="0" workbookViewId="0" topLeftCell="D25">
      <selection activeCell="M44" sqref="M44"/>
    </sheetView>
  </sheetViews>
  <sheetFormatPr defaultColWidth="9.140625" defaultRowHeight="12.75"/>
  <cols>
    <col min="1" max="1" width="14.140625" style="55" customWidth="1"/>
    <col min="2" max="2" width="14.421875" style="55" customWidth="1"/>
    <col min="3" max="3" width="13.421875" style="55" bestFit="1" customWidth="1"/>
    <col min="4" max="4" width="12.28125" style="55" customWidth="1"/>
    <col min="5" max="5" width="14.421875" style="55" customWidth="1"/>
    <col min="6" max="6" width="12.28125" style="55" bestFit="1" customWidth="1"/>
    <col min="7" max="7" width="15.7109375" style="55" customWidth="1"/>
    <col min="8" max="8" width="13.28125" style="55" customWidth="1"/>
    <col min="9" max="9" width="12.421875" style="55" customWidth="1"/>
    <col min="10" max="10" width="0.85546875" style="55" customWidth="1"/>
    <col min="11" max="11" width="12.7109375" style="201" customWidth="1"/>
    <col min="12" max="12" width="1.1484375" style="55" customWidth="1"/>
    <col min="13" max="13" width="8.8515625" style="55" customWidth="1"/>
    <col min="14" max="14" width="7.8515625" style="55" customWidth="1"/>
    <col min="15" max="15" width="8.7109375" style="55" customWidth="1"/>
    <col min="16" max="16" width="8.421875" style="55" customWidth="1"/>
    <col min="18" max="18" width="11.28125" style="0" bestFit="1" customWidth="1"/>
  </cols>
  <sheetData>
    <row r="1" spans="1:16" ht="12.75">
      <c r="A1" s="443" t="s">
        <v>89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179"/>
      <c r="L2" s="86"/>
      <c r="M2" s="86"/>
      <c r="N2" s="86"/>
      <c r="O2" s="86"/>
      <c r="P2" s="86"/>
    </row>
    <row r="3" spans="1:16" ht="12.75">
      <c r="A3" s="438" t="s">
        <v>275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6" ht="12.75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</row>
    <row r="5" spans="1:16" ht="13.5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179"/>
      <c r="L5" s="86"/>
      <c r="M5" s="180"/>
      <c r="N5" s="180"/>
      <c r="O5" s="180"/>
      <c r="P5" s="180"/>
    </row>
    <row r="6" spans="1:42" ht="15" customHeight="1" thickTop="1">
      <c r="A6" s="181"/>
      <c r="B6" s="182"/>
      <c r="C6" s="447" t="s">
        <v>80</v>
      </c>
      <c r="D6" s="447"/>
      <c r="E6" s="447"/>
      <c r="F6" s="447"/>
      <c r="G6" s="447"/>
      <c r="H6" s="447"/>
      <c r="I6" s="447"/>
      <c r="J6" s="447"/>
      <c r="K6" s="183"/>
      <c r="L6" s="181"/>
      <c r="M6" s="445"/>
      <c r="N6" s="445"/>
      <c r="O6" s="445"/>
      <c r="P6" s="445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16" ht="12.75">
      <c r="A7" s="66" t="s">
        <v>77</v>
      </c>
      <c r="B7" s="184" t="s">
        <v>43</v>
      </c>
      <c r="C7" s="442" t="s">
        <v>77</v>
      </c>
      <c r="D7" s="442"/>
      <c r="E7" s="442"/>
      <c r="F7" s="442"/>
      <c r="G7" s="184"/>
      <c r="H7" s="442" t="s">
        <v>51</v>
      </c>
      <c r="I7" s="442"/>
      <c r="J7" s="184"/>
      <c r="K7" s="185"/>
      <c r="L7" s="184"/>
      <c r="M7" s="446" t="s">
        <v>82</v>
      </c>
      <c r="N7" s="446"/>
      <c r="O7" s="446"/>
      <c r="P7" s="446"/>
    </row>
    <row r="8" spans="1:16" ht="12.75">
      <c r="A8" s="66" t="s">
        <v>33</v>
      </c>
      <c r="B8" s="184" t="s">
        <v>83</v>
      </c>
      <c r="C8" s="184" t="s">
        <v>90</v>
      </c>
      <c r="D8" s="184" t="s">
        <v>36</v>
      </c>
      <c r="E8" s="440" t="s">
        <v>182</v>
      </c>
      <c r="F8" s="184"/>
      <c r="G8" s="184"/>
      <c r="H8" s="184" t="s">
        <v>112</v>
      </c>
      <c r="I8" s="184" t="s">
        <v>143</v>
      </c>
      <c r="J8" s="184"/>
      <c r="K8" s="184" t="s">
        <v>79</v>
      </c>
      <c r="L8" s="184"/>
      <c r="M8" s="186"/>
      <c r="N8" s="186"/>
      <c r="O8" s="186"/>
      <c r="P8" s="186" t="s">
        <v>79</v>
      </c>
    </row>
    <row r="9" spans="1:16" ht="13.5" thickBot="1">
      <c r="A9" s="187" t="s">
        <v>132</v>
      </c>
      <c r="B9" s="73" t="s">
        <v>84</v>
      </c>
      <c r="C9" s="75" t="s">
        <v>91</v>
      </c>
      <c r="D9" s="75" t="s">
        <v>92</v>
      </c>
      <c r="E9" s="441"/>
      <c r="F9" s="75" t="s">
        <v>113</v>
      </c>
      <c r="G9" s="73" t="s">
        <v>44</v>
      </c>
      <c r="H9" s="73" t="s">
        <v>91</v>
      </c>
      <c r="I9" s="73" t="s">
        <v>73</v>
      </c>
      <c r="J9" s="73"/>
      <c r="K9" s="75" t="s">
        <v>202</v>
      </c>
      <c r="L9" s="75"/>
      <c r="M9" s="188" t="s">
        <v>77</v>
      </c>
      <c r="N9" s="188" t="s">
        <v>44</v>
      </c>
      <c r="O9" s="188" t="s">
        <v>51</v>
      </c>
      <c r="P9" s="188" t="s">
        <v>81</v>
      </c>
    </row>
    <row r="10" spans="1:18" ht="12.75">
      <c r="A10" s="66" t="s">
        <v>0</v>
      </c>
      <c r="B10" s="165">
        <f aca="true" t="shared" si="0" ref="B10:I10">SUM(B12:B39)</f>
        <v>319983883.34000003</v>
      </c>
      <c r="C10" s="165">
        <f t="shared" si="0"/>
        <v>104614949.11000003</v>
      </c>
      <c r="D10" s="165">
        <f t="shared" si="0"/>
        <v>10306339.51</v>
      </c>
      <c r="E10" s="165">
        <f t="shared" si="0"/>
        <v>82732.78</v>
      </c>
      <c r="F10" s="165">
        <f t="shared" si="0"/>
        <v>3966585.460000001</v>
      </c>
      <c r="G10" s="189">
        <f t="shared" si="0"/>
        <v>6662565.769999999</v>
      </c>
      <c r="H10" s="165">
        <f t="shared" si="0"/>
        <v>173696372.52</v>
      </c>
      <c r="I10" s="165">
        <f t="shared" si="0"/>
        <v>16983123.629999995</v>
      </c>
      <c r="J10" s="165"/>
      <c r="K10" s="190">
        <f>SUM(K12:K39)</f>
        <v>3671214.56</v>
      </c>
      <c r="L10" s="165"/>
      <c r="M10" s="191">
        <f>SUM(C10:F10)/B10</f>
        <v>0.3718018720761239</v>
      </c>
      <c r="N10" s="191">
        <f>+G10/B10</f>
        <v>0.020821566700347422</v>
      </c>
      <c r="O10" s="191">
        <f>(+H10+I10)/B10</f>
        <v>0.5959034378846912</v>
      </c>
      <c r="P10" s="191">
        <f>+K10/B10</f>
        <v>0.011473123338837469</v>
      </c>
      <c r="R10" s="60"/>
    </row>
    <row r="11" spans="1:18" ht="12.75">
      <c r="A11" s="66"/>
      <c r="B11" s="167"/>
      <c r="C11" s="74"/>
      <c r="D11" s="74"/>
      <c r="E11" s="74"/>
      <c r="F11" s="74"/>
      <c r="G11" s="78"/>
      <c r="H11" s="167"/>
      <c r="I11" s="79"/>
      <c r="J11" s="79"/>
      <c r="K11" s="192"/>
      <c r="L11" s="74"/>
      <c r="M11" s="193"/>
      <c r="N11" s="193"/>
      <c r="O11" s="193"/>
      <c r="P11" s="193"/>
      <c r="R11" s="45"/>
    </row>
    <row r="12" spans="1:18" ht="12.75">
      <c r="A12" s="86" t="s">
        <v>1</v>
      </c>
      <c r="B12" s="162">
        <f>SUM(C12:K12)</f>
        <v>5425441.62</v>
      </c>
      <c r="C12" s="357">
        <v>1084569.99</v>
      </c>
      <c r="D12" s="357">
        <v>439647.65</v>
      </c>
      <c r="E12" s="357">
        <v>0</v>
      </c>
      <c r="F12" s="357">
        <v>0</v>
      </c>
      <c r="G12" s="153">
        <v>213879.91</v>
      </c>
      <c r="H12" s="357">
        <f>fed3!F12+fed3!G12</f>
        <v>2612178.7</v>
      </c>
      <c r="I12" s="357">
        <v>288693.4</v>
      </c>
      <c r="J12" s="363"/>
      <c r="K12" s="364">
        <v>786471.97</v>
      </c>
      <c r="L12" s="194"/>
      <c r="M12" s="193">
        <f>SUM(C12:F12)/B12*100</f>
        <v>28.093890723682698</v>
      </c>
      <c r="N12" s="193">
        <f>+G12/B12*100</f>
        <v>3.942165909804776</v>
      </c>
      <c r="O12" s="193">
        <f>(+H12+I12)/B12*100</f>
        <v>53.46794423713659</v>
      </c>
      <c r="P12" s="193">
        <f>+K12/B12*100</f>
        <v>14.495999129375942</v>
      </c>
      <c r="Q12" s="42"/>
      <c r="R12" s="59"/>
    </row>
    <row r="13" spans="1:18" ht="12.75">
      <c r="A13" s="86" t="s">
        <v>2</v>
      </c>
      <c r="B13" s="162">
        <f aca="true" t="shared" si="1" ref="B13:B39">SUM(C13:K13)</f>
        <v>23772001</v>
      </c>
      <c r="C13" s="357">
        <v>11582512</v>
      </c>
      <c r="D13" s="357">
        <v>139328</v>
      </c>
      <c r="E13" s="357">
        <v>7722</v>
      </c>
      <c r="F13" s="357">
        <v>495170</v>
      </c>
      <c r="G13" s="153">
        <v>454450</v>
      </c>
      <c r="H13" s="357">
        <f>fed3!F13+fed3!G13</f>
        <v>9812480</v>
      </c>
      <c r="I13" s="357">
        <v>1280339</v>
      </c>
      <c r="J13" s="363"/>
      <c r="K13" s="365">
        <v>0</v>
      </c>
      <c r="L13" s="195"/>
      <c r="M13" s="193">
        <f aca="true" t="shared" si="2" ref="M13:M39">SUM(C13:F13)/B13*100</f>
        <v>51.42491791078084</v>
      </c>
      <c r="N13" s="193">
        <f aca="true" t="shared" si="3" ref="N13:N39">+G13/B13*100</f>
        <v>1.9117027632633872</v>
      </c>
      <c r="O13" s="193">
        <f aca="true" t="shared" si="4" ref="O13:O39">(+H13+I13)/B13*100</f>
        <v>46.66337932595577</v>
      </c>
      <c r="P13" s="193">
        <f aca="true" t="shared" si="5" ref="P13:P39">+K13/B13*100</f>
        <v>0</v>
      </c>
      <c r="R13" s="59"/>
    </row>
    <row r="14" spans="1:18" ht="12.75">
      <c r="A14" s="86" t="s">
        <v>3</v>
      </c>
      <c r="B14" s="162">
        <f t="shared" si="1"/>
        <v>35296938.38</v>
      </c>
      <c r="C14" s="357">
        <v>0</v>
      </c>
      <c r="D14" s="357">
        <v>1571187.99</v>
      </c>
      <c r="E14" s="357">
        <v>0</v>
      </c>
      <c r="F14" s="371">
        <v>0</v>
      </c>
      <c r="G14" s="153">
        <v>826463.88</v>
      </c>
      <c r="H14" s="357">
        <f>fed3!F14+fed3!G14</f>
        <v>29458843.490000002</v>
      </c>
      <c r="I14" s="357">
        <v>1906448.46</v>
      </c>
      <c r="J14" s="363"/>
      <c r="K14" s="375">
        <v>1533994.56</v>
      </c>
      <c r="L14" s="195"/>
      <c r="M14" s="193">
        <f t="shared" si="2"/>
        <v>4.45134355021077</v>
      </c>
      <c r="N14" s="193">
        <f t="shared" si="3"/>
        <v>2.341460528679428</v>
      </c>
      <c r="O14" s="193">
        <f t="shared" si="4"/>
        <v>88.861225334411</v>
      </c>
      <c r="P14" s="193">
        <f t="shared" si="5"/>
        <v>4.3459705866988</v>
      </c>
      <c r="R14" s="59"/>
    </row>
    <row r="15" spans="1:18" ht="12.75">
      <c r="A15" s="86" t="s">
        <v>4</v>
      </c>
      <c r="B15" s="162">
        <f t="shared" si="1"/>
        <v>39008577</v>
      </c>
      <c r="C15" s="357">
        <v>13395497</v>
      </c>
      <c r="D15" s="357">
        <v>1387307</v>
      </c>
      <c r="E15" s="357">
        <v>12451</v>
      </c>
      <c r="F15" s="357">
        <v>64226</v>
      </c>
      <c r="G15" s="153">
        <v>782628</v>
      </c>
      <c r="H15" s="357">
        <f>fed3!F15+fed3!G15</f>
        <v>21374864</v>
      </c>
      <c r="I15" s="357">
        <v>1991604</v>
      </c>
      <c r="J15" s="363"/>
      <c r="K15" s="364">
        <v>0</v>
      </c>
      <c r="L15" s="195"/>
      <c r="M15" s="193">
        <f t="shared" si="2"/>
        <v>38.092855835269255</v>
      </c>
      <c r="N15" s="193">
        <f t="shared" si="3"/>
        <v>2.0062972304783124</v>
      </c>
      <c r="O15" s="193">
        <f t="shared" si="4"/>
        <v>59.90084693425244</v>
      </c>
      <c r="P15" s="193">
        <f t="shared" si="5"/>
        <v>0</v>
      </c>
      <c r="R15" s="59"/>
    </row>
    <row r="16" spans="1:18" ht="12.75">
      <c r="A16" s="86" t="s">
        <v>5</v>
      </c>
      <c r="B16" s="162">
        <f t="shared" si="1"/>
        <v>5484601.71</v>
      </c>
      <c r="C16" s="357">
        <v>1208469.9</v>
      </c>
      <c r="D16" s="357">
        <v>0</v>
      </c>
      <c r="E16" s="357">
        <v>2217.78</v>
      </c>
      <c r="F16" s="371">
        <v>2510544.04</v>
      </c>
      <c r="G16" s="153">
        <v>34936.31</v>
      </c>
      <c r="H16" s="357">
        <f>fed3!F16+fed3!G16</f>
        <v>1452540.68</v>
      </c>
      <c r="I16" s="357">
        <v>275893</v>
      </c>
      <c r="J16" s="363"/>
      <c r="K16" s="364">
        <v>0</v>
      </c>
      <c r="L16" s="195"/>
      <c r="M16" s="193">
        <f t="shared" si="2"/>
        <v>67.84871384945106</v>
      </c>
      <c r="N16" s="193">
        <f t="shared" si="3"/>
        <v>0.6369890075390725</v>
      </c>
      <c r="O16" s="193">
        <f t="shared" si="4"/>
        <v>31.514297143009863</v>
      </c>
      <c r="P16" s="193">
        <f t="shared" si="5"/>
        <v>0</v>
      </c>
      <c r="R16" s="59"/>
    </row>
    <row r="17" spans="1:18" ht="12.75">
      <c r="A17" s="86"/>
      <c r="B17" s="162"/>
      <c r="C17" s="357"/>
      <c r="D17" s="357"/>
      <c r="E17" s="357"/>
      <c r="F17" s="371"/>
      <c r="G17" s="153"/>
      <c r="H17" s="357"/>
      <c r="I17" s="357"/>
      <c r="J17" s="363"/>
      <c r="K17" s="364"/>
      <c r="L17" s="195"/>
      <c r="M17" s="193"/>
      <c r="N17" s="193"/>
      <c r="O17" s="193"/>
      <c r="P17" s="193"/>
      <c r="R17" s="40"/>
    </row>
    <row r="18" spans="1:18" ht="12.75">
      <c r="A18" s="86" t="s">
        <v>6</v>
      </c>
      <c r="B18" s="162">
        <f t="shared" si="1"/>
        <v>2386016.99</v>
      </c>
      <c r="C18" s="357">
        <v>770028.13</v>
      </c>
      <c r="D18" s="357">
        <v>0</v>
      </c>
      <c r="E18" s="357">
        <v>384.36</v>
      </c>
      <c r="F18" s="371">
        <v>15232.93</v>
      </c>
      <c r="G18" s="153">
        <v>75022.37</v>
      </c>
      <c r="H18" s="357">
        <f>fed3!F18+fed3!G18</f>
        <v>1525349.2</v>
      </c>
      <c r="I18" s="357">
        <v>0</v>
      </c>
      <c r="J18" s="363"/>
      <c r="K18" s="364">
        <v>0</v>
      </c>
      <c r="L18" s="195"/>
      <c r="M18" s="193">
        <f t="shared" si="2"/>
        <v>32.92706729636489</v>
      </c>
      <c r="N18" s="193">
        <f t="shared" si="3"/>
        <v>3.1442512905157476</v>
      </c>
      <c r="O18" s="193">
        <f t="shared" si="4"/>
        <v>63.92868141311935</v>
      </c>
      <c r="P18" s="193">
        <f t="shared" si="5"/>
        <v>0</v>
      </c>
      <c r="R18" s="59"/>
    </row>
    <row r="19" spans="1:18" ht="12.75">
      <c r="A19" s="86" t="s">
        <v>7</v>
      </c>
      <c r="B19" s="162">
        <f t="shared" si="1"/>
        <v>6076301.52</v>
      </c>
      <c r="C19" s="357">
        <v>3261390.04</v>
      </c>
      <c r="D19" s="357">
        <v>130418</v>
      </c>
      <c r="E19" s="357">
        <v>597.37</v>
      </c>
      <c r="F19" s="372">
        <v>54785.6</v>
      </c>
      <c r="G19" s="153">
        <v>58834.3</v>
      </c>
      <c r="H19" s="357">
        <f>fed3!F19+fed3!G19</f>
        <v>2041660.0999999999</v>
      </c>
      <c r="I19" s="357">
        <v>469629.1</v>
      </c>
      <c r="J19" s="363"/>
      <c r="K19" s="364">
        <v>58987.009999999995</v>
      </c>
      <c r="L19" s="195"/>
      <c r="M19" s="193">
        <f t="shared" si="2"/>
        <v>56.73173062024085</v>
      </c>
      <c r="N19" s="193">
        <f t="shared" si="3"/>
        <v>0.9682584020287395</v>
      </c>
      <c r="O19" s="193">
        <f t="shared" si="4"/>
        <v>41.32923936928001</v>
      </c>
      <c r="P19" s="193">
        <f t="shared" si="5"/>
        <v>0.9707716084503983</v>
      </c>
      <c r="R19" s="59"/>
    </row>
    <row r="20" spans="1:18" ht="12.75">
      <c r="A20" s="86" t="s">
        <v>8</v>
      </c>
      <c r="B20" s="162">
        <f t="shared" si="1"/>
        <v>6256466.39</v>
      </c>
      <c r="C20" s="357">
        <v>2428306.04</v>
      </c>
      <c r="D20" s="357">
        <v>9697.1</v>
      </c>
      <c r="E20" s="357">
        <v>4613.86</v>
      </c>
      <c r="F20" s="371">
        <v>56132.600000000006</v>
      </c>
      <c r="G20" s="153">
        <v>263863.28</v>
      </c>
      <c r="H20" s="357">
        <f>fed3!F20+fed3!G20</f>
        <v>3141215.72</v>
      </c>
      <c r="I20" s="357">
        <v>352637.79</v>
      </c>
      <c r="J20" s="363"/>
      <c r="K20" s="364">
        <v>0</v>
      </c>
      <c r="L20" s="195"/>
      <c r="M20" s="193">
        <f t="shared" si="2"/>
        <v>39.93867215516202</v>
      </c>
      <c r="N20" s="193">
        <f t="shared" si="3"/>
        <v>4.21744901278052</v>
      </c>
      <c r="O20" s="193">
        <f t="shared" si="4"/>
        <v>55.84387883205747</v>
      </c>
      <c r="P20" s="193">
        <f t="shared" si="5"/>
        <v>0</v>
      </c>
      <c r="R20" s="59"/>
    </row>
    <row r="21" spans="1:18" ht="12.75">
      <c r="A21" s="86" t="s">
        <v>9</v>
      </c>
      <c r="B21" s="162">
        <f t="shared" si="1"/>
        <v>10262810.36</v>
      </c>
      <c r="C21" s="357">
        <v>5056139.67</v>
      </c>
      <c r="D21" s="357">
        <v>280815.63</v>
      </c>
      <c r="E21" s="357">
        <v>3573.77</v>
      </c>
      <c r="F21" s="371">
        <v>109349.89</v>
      </c>
      <c r="G21" s="153">
        <v>225411.03</v>
      </c>
      <c r="H21" s="357">
        <f>fed3!F21+fed3!G21</f>
        <v>4002083.98</v>
      </c>
      <c r="I21" s="357">
        <v>585436.39</v>
      </c>
      <c r="J21" s="363"/>
      <c r="K21" s="367">
        <v>0</v>
      </c>
      <c r="L21" s="195"/>
      <c r="M21" s="193">
        <f t="shared" si="2"/>
        <v>53.10318293750485</v>
      </c>
      <c r="N21" s="193">
        <f t="shared" si="3"/>
        <v>2.196386974844189</v>
      </c>
      <c r="O21" s="193">
        <f t="shared" si="4"/>
        <v>44.700430087650965</v>
      </c>
      <c r="P21" s="193">
        <f t="shared" si="5"/>
        <v>0</v>
      </c>
      <c r="R21" s="59"/>
    </row>
    <row r="22" spans="1:18" ht="12.75">
      <c r="A22" s="86" t="s">
        <v>10</v>
      </c>
      <c r="B22" s="162">
        <f t="shared" si="1"/>
        <v>2473700</v>
      </c>
      <c r="C22" s="357">
        <v>585196</v>
      </c>
      <c r="D22" s="357">
        <v>14136</v>
      </c>
      <c r="E22" s="357">
        <v>504</v>
      </c>
      <c r="F22" s="371">
        <v>0</v>
      </c>
      <c r="G22" s="153">
        <v>96842</v>
      </c>
      <c r="H22" s="357">
        <f>fed3!F22+fed3!G22</f>
        <v>1631984</v>
      </c>
      <c r="I22" s="357">
        <v>145038</v>
      </c>
      <c r="J22" s="363"/>
      <c r="K22" s="368">
        <v>0</v>
      </c>
      <c r="L22" s="195"/>
      <c r="M22" s="193">
        <f t="shared" si="2"/>
        <v>24.248534583821804</v>
      </c>
      <c r="N22" s="193">
        <f t="shared" si="3"/>
        <v>3.9148643732061283</v>
      </c>
      <c r="O22" s="193">
        <f t="shared" si="4"/>
        <v>71.83660104297206</v>
      </c>
      <c r="P22" s="193">
        <f t="shared" si="5"/>
        <v>0</v>
      </c>
      <c r="R22" s="59"/>
    </row>
    <row r="23" spans="1:18" ht="12.75">
      <c r="A23" s="86"/>
      <c r="B23" s="162"/>
      <c r="C23" s="357"/>
      <c r="D23" s="357"/>
      <c r="E23" s="357"/>
      <c r="F23" s="371"/>
      <c r="G23" s="153"/>
      <c r="H23" s="357"/>
      <c r="I23" s="357"/>
      <c r="J23" s="363"/>
      <c r="K23" s="368"/>
      <c r="L23" s="195"/>
      <c r="M23" s="193"/>
      <c r="N23" s="193"/>
      <c r="O23" s="193"/>
      <c r="P23" s="193"/>
      <c r="R23" s="40"/>
    </row>
    <row r="24" spans="1:18" ht="12.75">
      <c r="A24" s="86" t="s">
        <v>11</v>
      </c>
      <c r="B24" s="162">
        <f t="shared" si="1"/>
        <v>11556974.67</v>
      </c>
      <c r="C24" s="357">
        <v>6096908.86</v>
      </c>
      <c r="D24" s="373">
        <v>0</v>
      </c>
      <c r="E24" s="357">
        <v>7.76</v>
      </c>
      <c r="F24" s="371">
        <v>179980.22</v>
      </c>
      <c r="G24" s="153">
        <v>282212.97</v>
      </c>
      <c r="H24" s="357">
        <f>fed3!F24+fed3!G24</f>
        <v>4382407.56</v>
      </c>
      <c r="I24" s="357">
        <v>615457.3</v>
      </c>
      <c r="J24" s="363"/>
      <c r="K24" s="368">
        <v>0</v>
      </c>
      <c r="L24" s="195"/>
      <c r="M24" s="193">
        <f t="shared" si="2"/>
        <v>54.31262955255745</v>
      </c>
      <c r="N24" s="193">
        <f t="shared" si="3"/>
        <v>2.441927736785461</v>
      </c>
      <c r="O24" s="193">
        <f t="shared" si="4"/>
        <v>43.24544271065707</v>
      </c>
      <c r="P24" s="193">
        <f t="shared" si="5"/>
        <v>0</v>
      </c>
      <c r="R24" s="59"/>
    </row>
    <row r="25" spans="1:18" ht="12.75">
      <c r="A25" s="86" t="s">
        <v>12</v>
      </c>
      <c r="B25" s="162">
        <f t="shared" si="1"/>
        <v>2668705</v>
      </c>
      <c r="C25" s="357">
        <v>403931</v>
      </c>
      <c r="D25" s="357">
        <v>646504</v>
      </c>
      <c r="E25" s="357">
        <v>238</v>
      </c>
      <c r="F25" s="371">
        <v>0</v>
      </c>
      <c r="G25" s="153">
        <v>96041</v>
      </c>
      <c r="H25" s="357">
        <f>fed3!F25+fed3!G25</f>
        <v>1114363</v>
      </c>
      <c r="I25" s="357">
        <v>116584</v>
      </c>
      <c r="J25" s="363"/>
      <c r="K25" s="364">
        <v>291044</v>
      </c>
      <c r="L25" s="195"/>
      <c r="M25" s="193">
        <f t="shared" si="2"/>
        <v>39.370143946221106</v>
      </c>
      <c r="N25" s="193">
        <f t="shared" si="3"/>
        <v>3.598786677433437</v>
      </c>
      <c r="O25" s="193">
        <f t="shared" si="4"/>
        <v>46.12525550782121</v>
      </c>
      <c r="P25" s="193">
        <f t="shared" si="5"/>
        <v>10.905813868524247</v>
      </c>
      <c r="R25" s="59"/>
    </row>
    <row r="26" spans="1:18" ht="12.75">
      <c r="A26" s="86" t="s">
        <v>13</v>
      </c>
      <c r="B26" s="162">
        <f t="shared" si="1"/>
        <v>15108477</v>
      </c>
      <c r="C26" s="357">
        <v>7875066</v>
      </c>
      <c r="D26" s="357">
        <v>0</v>
      </c>
      <c r="E26" s="357">
        <v>59</v>
      </c>
      <c r="F26" s="371">
        <v>0</v>
      </c>
      <c r="G26" s="153">
        <v>294283</v>
      </c>
      <c r="H26" s="357">
        <f>fed3!F26+fed3!G26</f>
        <v>5955930</v>
      </c>
      <c r="I26" s="357">
        <v>977981</v>
      </c>
      <c r="J26" s="363"/>
      <c r="K26" s="364">
        <v>5158</v>
      </c>
      <c r="L26" s="195"/>
      <c r="M26" s="193">
        <f t="shared" si="2"/>
        <v>52.12388383024973</v>
      </c>
      <c r="N26" s="193">
        <f t="shared" si="3"/>
        <v>1.947800562558357</v>
      </c>
      <c r="O26" s="193">
        <f t="shared" si="4"/>
        <v>45.89417583254752</v>
      </c>
      <c r="P26" s="193">
        <f t="shared" si="5"/>
        <v>0.03413977464439334</v>
      </c>
      <c r="R26" s="59"/>
    </row>
    <row r="27" spans="1:18" ht="12.75">
      <c r="A27" s="86" t="s">
        <v>14</v>
      </c>
      <c r="B27" s="162">
        <f t="shared" si="1"/>
        <v>11957602</v>
      </c>
      <c r="C27" s="357">
        <v>7036686</v>
      </c>
      <c r="D27" s="357">
        <v>0</v>
      </c>
      <c r="E27" s="357">
        <v>5224</v>
      </c>
      <c r="F27" s="371">
        <v>0</v>
      </c>
      <c r="G27" s="153">
        <v>102622</v>
      </c>
      <c r="H27" s="357">
        <f>fed3!F27+fed3!G27</f>
        <v>3991190</v>
      </c>
      <c r="I27" s="357">
        <v>821880</v>
      </c>
      <c r="J27" s="363"/>
      <c r="K27" s="364">
        <v>0</v>
      </c>
      <c r="L27" s="195"/>
      <c r="M27" s="193">
        <f t="shared" si="2"/>
        <v>58.8906538284181</v>
      </c>
      <c r="N27" s="193">
        <f t="shared" si="3"/>
        <v>0.8582155519141715</v>
      </c>
      <c r="O27" s="193">
        <f t="shared" si="4"/>
        <v>40.25113061966773</v>
      </c>
      <c r="P27" s="193">
        <f t="shared" si="5"/>
        <v>0</v>
      </c>
      <c r="R27" s="59"/>
    </row>
    <row r="28" spans="1:18" ht="12.75">
      <c r="A28" s="86" t="s">
        <v>15</v>
      </c>
      <c r="B28" s="162">
        <f t="shared" si="1"/>
        <v>1276478.8</v>
      </c>
      <c r="C28" s="357">
        <v>338351.67</v>
      </c>
      <c r="D28" s="357">
        <v>0</v>
      </c>
      <c r="E28" s="357">
        <v>0</v>
      </c>
      <c r="F28" s="357">
        <v>4000</v>
      </c>
      <c r="G28" s="153">
        <v>117192.90000000001</v>
      </c>
      <c r="H28" s="357">
        <f>fed3!F28+fed3!G28</f>
        <v>752443.38</v>
      </c>
      <c r="I28" s="357">
        <v>64490.85</v>
      </c>
      <c r="J28" s="363"/>
      <c r="K28" s="364">
        <v>0</v>
      </c>
      <c r="L28" s="195"/>
      <c r="M28" s="193">
        <f t="shared" si="2"/>
        <v>26.82000437453407</v>
      </c>
      <c r="N28" s="193">
        <f t="shared" si="3"/>
        <v>9.180951536367076</v>
      </c>
      <c r="O28" s="193">
        <f t="shared" si="4"/>
        <v>63.99904408909885</v>
      </c>
      <c r="P28" s="193">
        <f t="shared" si="5"/>
        <v>0</v>
      </c>
      <c r="R28" s="59"/>
    </row>
    <row r="29" spans="1:18" ht="12.75">
      <c r="A29" s="86"/>
      <c r="B29" s="162"/>
      <c r="C29" s="357"/>
      <c r="D29" s="357"/>
      <c r="E29" s="357"/>
      <c r="F29" s="371"/>
      <c r="G29" s="153"/>
      <c r="H29" s="357"/>
      <c r="I29" s="357"/>
      <c r="J29" s="363"/>
      <c r="K29" s="364"/>
      <c r="L29" s="195"/>
      <c r="M29" s="193"/>
      <c r="N29" s="193"/>
      <c r="O29" s="193"/>
      <c r="P29" s="193"/>
      <c r="R29" s="40"/>
    </row>
    <row r="30" spans="1:18" ht="12.75">
      <c r="A30" s="86" t="s">
        <v>16</v>
      </c>
      <c r="B30" s="162">
        <f t="shared" si="1"/>
        <v>46209435</v>
      </c>
      <c r="C30" s="357">
        <v>18577749</v>
      </c>
      <c r="D30" s="357">
        <v>0</v>
      </c>
      <c r="E30" s="357">
        <v>34215</v>
      </c>
      <c r="F30" s="371">
        <v>0</v>
      </c>
      <c r="G30" s="153">
        <v>971937</v>
      </c>
      <c r="H30" s="357">
        <f>fed3!F30+fed3!G30</f>
        <v>24045301</v>
      </c>
      <c r="I30" s="357">
        <v>2580233</v>
      </c>
      <c r="J30" s="363"/>
      <c r="K30" s="364">
        <v>0</v>
      </c>
      <c r="L30" s="195"/>
      <c r="M30" s="193">
        <f t="shared" si="2"/>
        <v>40.27741087940158</v>
      </c>
      <c r="N30" s="193">
        <f t="shared" si="3"/>
        <v>2.103330196528047</v>
      </c>
      <c r="O30" s="193">
        <f t="shared" si="4"/>
        <v>57.61925892407037</v>
      </c>
      <c r="P30" s="193">
        <f t="shared" si="5"/>
        <v>0</v>
      </c>
      <c r="R30" s="59"/>
    </row>
    <row r="31" spans="1:18" ht="12.75">
      <c r="A31" s="86" t="s">
        <v>17</v>
      </c>
      <c r="B31" s="162">
        <f t="shared" si="1"/>
        <v>61742531</v>
      </c>
      <c r="C31" s="357">
        <v>17137729</v>
      </c>
      <c r="D31" s="357">
        <v>1792137</v>
      </c>
      <c r="E31" s="357">
        <v>0</v>
      </c>
      <c r="F31" s="357">
        <v>0</v>
      </c>
      <c r="G31" s="153">
        <v>607273</v>
      </c>
      <c r="H31" s="357">
        <f>fed3!F31+fed3!G31</f>
        <v>39249643</v>
      </c>
      <c r="I31" s="357">
        <v>2955749</v>
      </c>
      <c r="J31" s="363"/>
      <c r="K31" s="364">
        <v>0</v>
      </c>
      <c r="L31" s="195"/>
      <c r="M31" s="193">
        <f t="shared" si="2"/>
        <v>30.659361858683766</v>
      </c>
      <c r="N31" s="193">
        <f t="shared" si="3"/>
        <v>0.9835570232778439</v>
      </c>
      <c r="O31" s="193">
        <f t="shared" si="4"/>
        <v>68.3570811180384</v>
      </c>
      <c r="P31" s="193">
        <f t="shared" si="5"/>
        <v>0</v>
      </c>
      <c r="R31" s="59"/>
    </row>
    <row r="32" spans="1:18" ht="12.75">
      <c r="A32" s="86" t="s">
        <v>18</v>
      </c>
      <c r="B32" s="162">
        <f t="shared" si="1"/>
        <v>2454254.7300000004</v>
      </c>
      <c r="C32" s="357">
        <v>752046.37</v>
      </c>
      <c r="D32" s="357">
        <v>641508.27</v>
      </c>
      <c r="E32" s="357">
        <v>717.41</v>
      </c>
      <c r="F32" s="371">
        <v>134292.1</v>
      </c>
      <c r="G32" s="153">
        <v>54849.6</v>
      </c>
      <c r="H32" s="357">
        <f>fed3!F32+fed3!G32</f>
        <v>870772.98</v>
      </c>
      <c r="I32" s="357">
        <v>0</v>
      </c>
      <c r="J32" s="363"/>
      <c r="K32" s="364">
        <v>68</v>
      </c>
      <c r="L32" s="195"/>
      <c r="M32" s="193">
        <f t="shared" si="2"/>
        <v>62.28221265361481</v>
      </c>
      <c r="N32" s="193">
        <f t="shared" si="3"/>
        <v>2.2348780397379526</v>
      </c>
      <c r="O32" s="193">
        <f t="shared" si="4"/>
        <v>35.48013860810609</v>
      </c>
      <c r="P32" s="193">
        <f t="shared" si="5"/>
        <v>0.0027706985411412445</v>
      </c>
      <c r="R32" s="59"/>
    </row>
    <row r="33" spans="1:18" ht="12.75">
      <c r="A33" s="86" t="s">
        <v>19</v>
      </c>
      <c r="B33" s="162">
        <f t="shared" si="1"/>
        <v>6732964.17</v>
      </c>
      <c r="C33" s="357">
        <v>2092575.45</v>
      </c>
      <c r="D33" s="357">
        <v>1210801.93</v>
      </c>
      <c r="E33" s="357">
        <v>726.79</v>
      </c>
      <c r="F33" s="371">
        <v>0</v>
      </c>
      <c r="G33" s="153">
        <v>209932.04</v>
      </c>
      <c r="H33" s="357">
        <f>fed3!F33+fed3!G33</f>
        <v>2718669.05</v>
      </c>
      <c r="I33" s="357">
        <v>425094</v>
      </c>
      <c r="J33" s="363"/>
      <c r="K33" s="364">
        <v>75164.91</v>
      </c>
      <c r="L33" s="195"/>
      <c r="M33" s="193">
        <f t="shared" si="2"/>
        <v>49.073544527714304</v>
      </c>
      <c r="N33" s="193">
        <f t="shared" si="3"/>
        <v>3.1179735210145934</v>
      </c>
      <c r="O33" s="193">
        <f t="shared" si="4"/>
        <v>46.692110200253744</v>
      </c>
      <c r="P33" s="193">
        <f t="shared" si="5"/>
        <v>1.1163717510173532</v>
      </c>
      <c r="R33" s="59"/>
    </row>
    <row r="34" spans="1:18" ht="12.75">
      <c r="A34" s="86" t="s">
        <v>20</v>
      </c>
      <c r="B34" s="162">
        <f t="shared" si="1"/>
        <v>1529134.4300000002</v>
      </c>
      <c r="C34" s="357">
        <v>249617.4</v>
      </c>
      <c r="D34" s="357">
        <v>0</v>
      </c>
      <c r="E34" s="357">
        <v>199.62</v>
      </c>
      <c r="F34" s="357">
        <v>0</v>
      </c>
      <c r="G34" s="153">
        <v>83747.61</v>
      </c>
      <c r="H34" s="357">
        <f>fed3!F34+fed3!G34</f>
        <v>1128428.8</v>
      </c>
      <c r="I34" s="357">
        <v>67141</v>
      </c>
      <c r="J34" s="363"/>
      <c r="K34" s="364">
        <v>0</v>
      </c>
      <c r="L34" s="195"/>
      <c r="M34" s="193">
        <f t="shared" si="2"/>
        <v>16.337152254167737</v>
      </c>
      <c r="N34" s="193">
        <f t="shared" si="3"/>
        <v>5.476798400255757</v>
      </c>
      <c r="O34" s="193">
        <f t="shared" si="4"/>
        <v>78.1860493455765</v>
      </c>
      <c r="P34" s="193">
        <f t="shared" si="5"/>
        <v>0</v>
      </c>
      <c r="R34" s="59"/>
    </row>
    <row r="35" spans="1:20" ht="12.75">
      <c r="A35" s="86"/>
      <c r="B35" s="162"/>
      <c r="C35" s="357"/>
      <c r="D35" s="357"/>
      <c r="E35" s="357"/>
      <c r="F35" s="371"/>
      <c r="G35" s="153"/>
      <c r="H35" s="357"/>
      <c r="I35" s="357"/>
      <c r="J35" s="363"/>
      <c r="K35" s="364"/>
      <c r="L35" s="195"/>
      <c r="M35" s="193"/>
      <c r="N35" s="193"/>
      <c r="O35" s="193"/>
      <c r="P35" s="193"/>
      <c r="R35" s="40"/>
      <c r="S35" s="3"/>
      <c r="T35" s="3"/>
    </row>
    <row r="36" spans="1:20" ht="12.75">
      <c r="A36" s="86" t="s">
        <v>21</v>
      </c>
      <c r="B36" s="162">
        <f t="shared" si="1"/>
        <v>1833420.9800000002</v>
      </c>
      <c r="C36" s="357">
        <v>385881.51</v>
      </c>
      <c r="D36" s="357">
        <v>395076.09</v>
      </c>
      <c r="E36" s="357">
        <v>7520.21</v>
      </c>
      <c r="F36" s="357">
        <v>0</v>
      </c>
      <c r="G36" s="153">
        <v>84124.77</v>
      </c>
      <c r="H36" s="357">
        <f>fed3!F36+fed3!G36</f>
        <v>839946.06</v>
      </c>
      <c r="I36" s="357">
        <v>120872.34</v>
      </c>
      <c r="J36" s="363"/>
      <c r="K36" s="364">
        <v>0</v>
      </c>
      <c r="L36" s="195"/>
      <c r="M36" s="193">
        <f t="shared" si="2"/>
        <v>43.005824554271214</v>
      </c>
      <c r="N36" s="193">
        <f t="shared" si="3"/>
        <v>4.588404459078459</v>
      </c>
      <c r="O36" s="193">
        <f t="shared" si="4"/>
        <v>52.40577098665031</v>
      </c>
      <c r="P36" s="193">
        <f t="shared" si="5"/>
        <v>0</v>
      </c>
      <c r="R36" s="59"/>
      <c r="S36" s="3"/>
      <c r="T36" s="3"/>
    </row>
    <row r="37" spans="1:20" ht="12.75">
      <c r="A37" s="86" t="s">
        <v>22</v>
      </c>
      <c r="B37" s="162">
        <f t="shared" si="1"/>
        <v>10652444.93</v>
      </c>
      <c r="C37" s="357">
        <v>3265068.15</v>
      </c>
      <c r="D37" s="357">
        <v>365499.51</v>
      </c>
      <c r="E37" s="357">
        <v>40.13</v>
      </c>
      <c r="F37" s="371">
        <v>142142.66</v>
      </c>
      <c r="G37" s="153">
        <v>390440.2</v>
      </c>
      <c r="H37" s="357">
        <f>fed3!F37+fed3!G37</f>
        <v>5706322.17</v>
      </c>
      <c r="I37" s="357">
        <v>612606</v>
      </c>
      <c r="J37" s="363"/>
      <c r="K37" s="364">
        <v>170326.11</v>
      </c>
      <c r="L37" s="195"/>
      <c r="M37" s="193">
        <f t="shared" si="2"/>
        <v>35.416756198147276</v>
      </c>
      <c r="N37" s="193">
        <f t="shared" si="3"/>
        <v>3.665263726456083</v>
      </c>
      <c r="O37" s="193">
        <f t="shared" si="4"/>
        <v>59.31904094809528</v>
      </c>
      <c r="P37" s="193">
        <f t="shared" si="5"/>
        <v>1.5989391273013602</v>
      </c>
      <c r="R37" s="59"/>
      <c r="S37" s="3"/>
      <c r="T37" s="3"/>
    </row>
    <row r="38" spans="1:20" ht="12.75">
      <c r="A38" s="86" t="s">
        <v>23</v>
      </c>
      <c r="B38" s="162">
        <f t="shared" si="1"/>
        <v>7036900.17</v>
      </c>
      <c r="C38" s="357">
        <v>598880.05</v>
      </c>
      <c r="D38" s="357">
        <v>939140.64</v>
      </c>
      <c r="E38" s="357">
        <v>0</v>
      </c>
      <c r="F38" s="371">
        <v>84811.67</v>
      </c>
      <c r="G38" s="153">
        <v>189650.63</v>
      </c>
      <c r="H38" s="357">
        <f>fed3!F38+fed3!G38</f>
        <v>4145101.18</v>
      </c>
      <c r="I38" s="357">
        <v>329316</v>
      </c>
      <c r="J38" s="363"/>
      <c r="K38" s="364">
        <v>750000</v>
      </c>
      <c r="L38" s="195"/>
      <c r="M38" s="193">
        <f t="shared" si="2"/>
        <v>23.061750498017936</v>
      </c>
      <c r="N38" s="193">
        <f t="shared" si="3"/>
        <v>2.6950876865999365</v>
      </c>
      <c r="O38" s="193">
        <f t="shared" si="4"/>
        <v>63.58505978350407</v>
      </c>
      <c r="P38" s="193">
        <f t="shared" si="5"/>
        <v>10.658102031878052</v>
      </c>
      <c r="R38" s="59"/>
      <c r="S38" s="3"/>
      <c r="T38" s="3"/>
    </row>
    <row r="39" spans="1:20" ht="12.75">
      <c r="A39" s="197" t="s">
        <v>24</v>
      </c>
      <c r="B39" s="163">
        <f t="shared" si="1"/>
        <v>2781705.49</v>
      </c>
      <c r="C39" s="359">
        <v>432349.88</v>
      </c>
      <c r="D39" s="359">
        <v>343134.7</v>
      </c>
      <c r="E39" s="359">
        <v>1720.72</v>
      </c>
      <c r="F39" s="359">
        <v>115917.75</v>
      </c>
      <c r="G39" s="155">
        <v>145927.97</v>
      </c>
      <c r="H39" s="359">
        <f>fed3!F39+fed3!G39</f>
        <v>1742654.47</v>
      </c>
      <c r="I39" s="359">
        <v>0</v>
      </c>
      <c r="J39" s="369"/>
      <c r="K39" s="370">
        <v>0</v>
      </c>
      <c r="L39" s="198"/>
      <c r="M39" s="199">
        <f t="shared" si="2"/>
        <v>32.10703121558709</v>
      </c>
      <c r="N39" s="199">
        <f t="shared" si="3"/>
        <v>5.245989215055257</v>
      </c>
      <c r="O39" s="199">
        <f t="shared" si="4"/>
        <v>62.64697956935764</v>
      </c>
      <c r="P39" s="199">
        <f t="shared" si="5"/>
        <v>0</v>
      </c>
      <c r="R39" s="59"/>
      <c r="S39" s="3"/>
      <c r="T39" s="3"/>
    </row>
    <row r="40" spans="1:20" ht="12.75">
      <c r="A40" s="66"/>
      <c r="B40" s="86"/>
      <c r="C40" s="86"/>
      <c r="D40" s="86"/>
      <c r="E40" s="86"/>
      <c r="F40" s="86"/>
      <c r="G40" s="86"/>
      <c r="H40" s="86"/>
      <c r="I40" s="86"/>
      <c r="J40" s="195"/>
      <c r="K40" s="179"/>
      <c r="L40" s="86"/>
      <c r="M40" s="180"/>
      <c r="N40" s="193"/>
      <c r="O40" s="193"/>
      <c r="P40" s="193"/>
      <c r="R40" s="3"/>
      <c r="S40" s="3"/>
      <c r="T40" s="3"/>
    </row>
    <row r="41" spans="1:256" s="55" customFormat="1" ht="12.75">
      <c r="A41" s="218"/>
      <c r="B41" s="218"/>
      <c r="C41" s="218"/>
      <c r="D41" s="218"/>
      <c r="E41" s="218"/>
      <c r="F41" s="218"/>
      <c r="G41" s="218"/>
      <c r="H41" s="218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200" t="s">
        <v>199</v>
      </c>
      <c r="B42" s="200"/>
      <c r="C42" s="200"/>
      <c r="D42" s="200"/>
      <c r="E42" s="200"/>
      <c r="F42" s="200"/>
      <c r="G42" s="200"/>
      <c r="H42" s="158"/>
      <c r="I42" s="200"/>
      <c r="J42" s="200"/>
      <c r="K42" s="200"/>
      <c r="L42" s="200"/>
      <c r="M42" s="200"/>
      <c r="N42" s="200"/>
      <c r="O42" s="200"/>
      <c r="P42" s="20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9:16" ht="12.75">
      <c r="I43" s="169"/>
      <c r="J43" s="169"/>
      <c r="M43" s="202"/>
      <c r="N43" s="202"/>
      <c r="O43" s="202"/>
      <c r="P43" s="202"/>
    </row>
    <row r="44" spans="9:16" ht="12.75">
      <c r="I44" s="169"/>
      <c r="J44" s="169"/>
      <c r="M44" s="202"/>
      <c r="N44" s="202"/>
      <c r="O44" s="202"/>
      <c r="P44" s="202"/>
    </row>
    <row r="45" spans="13:16" ht="12.75">
      <c r="M45" s="202"/>
      <c r="N45" s="202"/>
      <c r="O45" s="202"/>
      <c r="P45" s="202"/>
    </row>
    <row r="46" spans="13:16" ht="12.75">
      <c r="M46" s="202"/>
      <c r="N46" s="202"/>
      <c r="O46" s="202"/>
      <c r="P46" s="202"/>
    </row>
    <row r="47" spans="13:16" ht="12.75">
      <c r="M47" s="202"/>
      <c r="N47" s="202"/>
      <c r="O47" s="202"/>
      <c r="P47" s="202"/>
    </row>
    <row r="48" spans="13:16" ht="12.75">
      <c r="M48" s="202"/>
      <c r="N48" s="202"/>
      <c r="O48" s="202"/>
      <c r="P48" s="202"/>
    </row>
    <row r="49" spans="13:16" ht="12.75">
      <c r="M49" s="202"/>
      <c r="N49" s="202"/>
      <c r="O49" s="202"/>
      <c r="P49" s="202"/>
    </row>
    <row r="50" spans="13:16" ht="12.75">
      <c r="M50" s="202"/>
      <c r="N50" s="202"/>
      <c r="O50" s="202"/>
      <c r="P50" s="202"/>
    </row>
    <row r="51" spans="13:16" ht="12.75">
      <c r="M51" s="202"/>
      <c r="N51" s="202"/>
      <c r="O51" s="202"/>
      <c r="P51" s="202"/>
    </row>
    <row r="52" spans="13:16" ht="12.75">
      <c r="M52" s="202"/>
      <c r="N52" s="202"/>
      <c r="O52" s="202"/>
      <c r="P52" s="202"/>
    </row>
    <row r="53" spans="13:16" ht="12.75">
      <c r="M53" s="202"/>
      <c r="N53" s="202"/>
      <c r="O53" s="202"/>
      <c r="P53" s="202"/>
    </row>
    <row r="54" spans="13:16" ht="12.75">
      <c r="M54" s="202"/>
      <c r="N54" s="202"/>
      <c r="O54" s="202"/>
      <c r="P54" s="202"/>
    </row>
    <row r="55" spans="13:16" ht="12.75">
      <c r="M55" s="202"/>
      <c r="N55" s="202"/>
      <c r="O55" s="202"/>
      <c r="P55" s="202"/>
    </row>
    <row r="56" spans="13:16" ht="12.75">
      <c r="M56" s="202"/>
      <c r="N56" s="202"/>
      <c r="O56" s="202"/>
      <c r="P56" s="202"/>
    </row>
    <row r="57" spans="13:16" ht="12.75">
      <c r="M57" s="202"/>
      <c r="N57" s="202"/>
      <c r="O57" s="202"/>
      <c r="P57" s="202"/>
    </row>
    <row r="58" spans="13:16" ht="12.75">
      <c r="M58" s="202"/>
      <c r="N58" s="202"/>
      <c r="O58" s="202"/>
      <c r="P58" s="202"/>
    </row>
    <row r="59" spans="13:16" ht="12.75">
      <c r="M59" s="202"/>
      <c r="N59" s="202"/>
      <c r="O59" s="202"/>
      <c r="P59" s="202"/>
    </row>
    <row r="60" spans="13:16" ht="12.75">
      <c r="M60" s="202"/>
      <c r="N60" s="202"/>
      <c r="O60" s="202"/>
      <c r="P60" s="202"/>
    </row>
    <row r="61" spans="13:16" ht="12.75">
      <c r="M61" s="202"/>
      <c r="N61" s="202"/>
      <c r="O61" s="202"/>
      <c r="P61" s="202"/>
    </row>
    <row r="62" spans="13:16" ht="12.75">
      <c r="M62" s="202"/>
      <c r="N62" s="202"/>
      <c r="O62" s="202"/>
      <c r="P62" s="202"/>
    </row>
    <row r="63" spans="13:16" ht="12.75">
      <c r="M63" s="202"/>
      <c r="N63" s="202"/>
      <c r="O63" s="202"/>
      <c r="P63" s="202"/>
    </row>
    <row r="64" spans="13:16" ht="12.75">
      <c r="M64" s="202"/>
      <c r="N64" s="202"/>
      <c r="O64" s="202"/>
      <c r="P64" s="202"/>
    </row>
    <row r="65" spans="13:16" ht="12.75">
      <c r="M65" s="202"/>
      <c r="N65" s="202"/>
      <c r="O65" s="202"/>
      <c r="P65" s="202"/>
    </row>
    <row r="66" spans="13:16" ht="12.75">
      <c r="M66" s="202"/>
      <c r="N66" s="202"/>
      <c r="O66" s="202"/>
      <c r="P66" s="202"/>
    </row>
    <row r="67" spans="13:16" ht="12.75">
      <c r="M67" s="202"/>
      <c r="N67" s="202"/>
      <c r="O67" s="202"/>
      <c r="P67" s="202"/>
    </row>
    <row r="68" spans="13:16" ht="12.75">
      <c r="M68" s="202"/>
      <c r="N68" s="202"/>
      <c r="O68" s="202"/>
      <c r="P68" s="202"/>
    </row>
    <row r="69" spans="13:16" ht="12.75">
      <c r="M69" s="202"/>
      <c r="N69" s="202"/>
      <c r="O69" s="202"/>
      <c r="P69" s="202"/>
    </row>
    <row r="70" spans="13:16" ht="12.75">
      <c r="M70" s="202"/>
      <c r="N70" s="202"/>
      <c r="O70" s="202"/>
      <c r="P70" s="202"/>
    </row>
    <row r="71" spans="13:16" ht="12.75">
      <c r="M71" s="202"/>
      <c r="N71" s="202"/>
      <c r="O71" s="202"/>
      <c r="P71" s="202"/>
    </row>
    <row r="72" spans="13:16" ht="12.75">
      <c r="M72" s="202"/>
      <c r="N72" s="202"/>
      <c r="O72" s="202"/>
      <c r="P72" s="202"/>
    </row>
    <row r="73" spans="13:16" ht="12.75">
      <c r="M73" s="202"/>
      <c r="N73" s="202"/>
      <c r="O73" s="202"/>
      <c r="P73" s="202"/>
    </row>
    <row r="74" spans="13:16" ht="12.75">
      <c r="M74" s="202"/>
      <c r="N74" s="202"/>
      <c r="O74" s="202"/>
      <c r="P74" s="202"/>
    </row>
    <row r="75" spans="13:16" ht="12.75">
      <c r="M75" s="202"/>
      <c r="N75" s="202"/>
      <c r="O75" s="202"/>
      <c r="P75" s="202"/>
    </row>
    <row r="76" spans="13:16" ht="12.75">
      <c r="M76" s="202"/>
      <c r="N76" s="202"/>
      <c r="O76" s="202"/>
      <c r="P76" s="202"/>
    </row>
    <row r="77" spans="13:16" ht="12.75">
      <c r="M77" s="202"/>
      <c r="N77" s="202"/>
      <c r="O77" s="202"/>
      <c r="P77" s="202"/>
    </row>
    <row r="78" spans="13:16" ht="12.75">
      <c r="M78" s="202"/>
      <c r="N78" s="202"/>
      <c r="O78" s="202"/>
      <c r="P78" s="202"/>
    </row>
    <row r="79" spans="13:16" ht="12.75">
      <c r="M79" s="202"/>
      <c r="N79" s="202"/>
      <c r="O79" s="202"/>
      <c r="P79" s="202"/>
    </row>
    <row r="80" spans="13:16" ht="12.75">
      <c r="M80" s="202"/>
      <c r="N80" s="202"/>
      <c r="O80" s="202"/>
      <c r="P80" s="202"/>
    </row>
    <row r="81" spans="13:16" ht="12.75">
      <c r="M81" s="202"/>
      <c r="N81" s="202"/>
      <c r="O81" s="202"/>
      <c r="P81" s="202"/>
    </row>
    <row r="82" spans="13:16" ht="12.75">
      <c r="M82" s="202"/>
      <c r="N82" s="202"/>
      <c r="O82" s="202"/>
      <c r="P82" s="202"/>
    </row>
    <row r="83" spans="13:16" ht="12.75">
      <c r="M83" s="202"/>
      <c r="N83" s="202"/>
      <c r="O83" s="202"/>
      <c r="P83" s="202"/>
    </row>
    <row r="84" spans="13:16" ht="12.75">
      <c r="M84" s="202"/>
      <c r="N84" s="202"/>
      <c r="O84" s="202"/>
      <c r="P84" s="202"/>
    </row>
    <row r="85" spans="13:16" ht="12.75">
      <c r="M85" s="202"/>
      <c r="N85" s="202"/>
      <c r="O85" s="202"/>
      <c r="P85" s="202"/>
    </row>
    <row r="86" spans="13:16" ht="12.75">
      <c r="M86" s="202"/>
      <c r="N86" s="202"/>
      <c r="O86" s="202"/>
      <c r="P86" s="202"/>
    </row>
    <row r="87" spans="13:16" ht="12.75">
      <c r="M87" s="202"/>
      <c r="N87" s="202"/>
      <c r="O87" s="202"/>
      <c r="P87" s="202"/>
    </row>
    <row r="88" spans="13:16" ht="12.75">
      <c r="M88" s="202"/>
      <c r="N88" s="202"/>
      <c r="O88" s="202"/>
      <c r="P88" s="202"/>
    </row>
    <row r="89" spans="13:16" ht="12.75">
      <c r="M89" s="202"/>
      <c r="N89" s="202"/>
      <c r="O89" s="202"/>
      <c r="P89" s="202"/>
    </row>
    <row r="90" spans="13:16" ht="12.75">
      <c r="M90" s="202"/>
      <c r="N90" s="202"/>
      <c r="O90" s="202"/>
      <c r="P90" s="202"/>
    </row>
    <row r="91" spans="13:16" ht="12.75">
      <c r="M91" s="202"/>
      <c r="N91" s="202"/>
      <c r="O91" s="202"/>
      <c r="P91" s="202"/>
    </row>
    <row r="92" spans="13:16" ht="12.75">
      <c r="M92" s="202"/>
      <c r="N92" s="202"/>
      <c r="O92" s="202"/>
      <c r="P92" s="202"/>
    </row>
    <row r="93" spans="13:16" ht="12.75">
      <c r="M93" s="202"/>
      <c r="N93" s="202"/>
      <c r="O93" s="202"/>
      <c r="P93" s="202"/>
    </row>
    <row r="94" spans="13:16" ht="12.75">
      <c r="M94" s="202"/>
      <c r="N94" s="202"/>
      <c r="O94" s="202"/>
      <c r="P94" s="202"/>
    </row>
    <row r="95" spans="13:16" ht="12.75">
      <c r="M95" s="202"/>
      <c r="N95" s="202"/>
      <c r="O95" s="202"/>
      <c r="P95" s="202"/>
    </row>
    <row r="96" spans="13:16" ht="12.75">
      <c r="M96" s="202"/>
      <c r="N96" s="202"/>
      <c r="O96" s="202"/>
      <c r="P96" s="202"/>
    </row>
    <row r="97" spans="13:16" ht="12.75">
      <c r="M97" s="202"/>
      <c r="N97" s="202"/>
      <c r="O97" s="202"/>
      <c r="P97" s="202"/>
    </row>
    <row r="98" spans="13:16" ht="12.75">
      <c r="M98" s="202"/>
      <c r="N98" s="202"/>
      <c r="O98" s="202"/>
      <c r="P98" s="202"/>
    </row>
    <row r="99" spans="13:16" ht="12.75">
      <c r="M99" s="202"/>
      <c r="N99" s="202"/>
      <c r="O99" s="202"/>
      <c r="P99" s="202"/>
    </row>
    <row r="100" spans="13:16" ht="12.75">
      <c r="M100" s="202"/>
      <c r="N100" s="202"/>
      <c r="O100" s="202"/>
      <c r="P100" s="202"/>
    </row>
    <row r="101" spans="13:16" ht="12.75">
      <c r="M101" s="202"/>
      <c r="N101" s="202"/>
      <c r="O101" s="202"/>
      <c r="P101" s="202"/>
    </row>
    <row r="102" spans="13:16" ht="12.75">
      <c r="M102" s="202"/>
      <c r="N102" s="202"/>
      <c r="O102" s="202"/>
      <c r="P102" s="202"/>
    </row>
    <row r="103" spans="13:16" ht="12.75">
      <c r="M103" s="202"/>
      <c r="N103" s="202"/>
      <c r="O103" s="202"/>
      <c r="P103" s="202"/>
    </row>
    <row r="104" spans="13:16" ht="12.75">
      <c r="M104" s="202"/>
      <c r="N104" s="202"/>
      <c r="O104" s="202"/>
      <c r="P104" s="202"/>
    </row>
    <row r="105" spans="13:16" ht="12.75">
      <c r="M105" s="202"/>
      <c r="N105" s="202"/>
      <c r="O105" s="202"/>
      <c r="P105" s="202"/>
    </row>
    <row r="106" spans="13:16" ht="12.75">
      <c r="M106" s="202"/>
      <c r="N106" s="202"/>
      <c r="O106" s="202"/>
      <c r="P106" s="202"/>
    </row>
    <row r="107" spans="13:16" ht="12.75">
      <c r="M107" s="202"/>
      <c r="N107" s="202"/>
      <c r="O107" s="202"/>
      <c r="P107" s="202"/>
    </row>
    <row r="108" spans="13:16" ht="12.75">
      <c r="M108" s="202"/>
      <c r="N108" s="202"/>
      <c r="O108" s="202"/>
      <c r="P108" s="202"/>
    </row>
    <row r="109" spans="13:16" ht="12.75">
      <c r="M109" s="202"/>
      <c r="N109" s="202"/>
      <c r="O109" s="202"/>
      <c r="P109" s="202"/>
    </row>
    <row r="110" spans="13:16" ht="12.75">
      <c r="M110" s="202"/>
      <c r="N110" s="202"/>
      <c r="O110" s="202"/>
      <c r="P110" s="202"/>
    </row>
    <row r="111" spans="13:16" ht="12.75">
      <c r="M111" s="202"/>
      <c r="N111" s="202"/>
      <c r="O111" s="202"/>
      <c r="P111" s="202"/>
    </row>
    <row r="112" spans="13:16" ht="12.75">
      <c r="M112" s="202"/>
      <c r="N112" s="202"/>
      <c r="O112" s="202"/>
      <c r="P112" s="202"/>
    </row>
    <row r="113" spans="13:16" ht="12.75">
      <c r="M113" s="202"/>
      <c r="N113" s="202"/>
      <c r="O113" s="202"/>
      <c r="P113" s="202"/>
    </row>
    <row r="114" spans="13:16" ht="12.75">
      <c r="M114" s="202"/>
      <c r="N114" s="202"/>
      <c r="O114" s="202"/>
      <c r="P114" s="202"/>
    </row>
    <row r="115" spans="13:16" ht="12.75">
      <c r="M115" s="202"/>
      <c r="N115" s="202"/>
      <c r="O115" s="202"/>
      <c r="P115" s="202"/>
    </row>
    <row r="116" spans="13:16" ht="12.75">
      <c r="M116" s="202"/>
      <c r="N116" s="202"/>
      <c r="O116" s="202"/>
      <c r="P116" s="202"/>
    </row>
    <row r="117" spans="13:16" ht="12.75">
      <c r="M117" s="202"/>
      <c r="N117" s="202"/>
      <c r="O117" s="202"/>
      <c r="P117" s="202"/>
    </row>
    <row r="118" spans="13:16" ht="12.75">
      <c r="M118" s="202"/>
      <c r="N118" s="202"/>
      <c r="O118" s="202"/>
      <c r="P118" s="202"/>
    </row>
    <row r="119" spans="13:16" ht="12.75">
      <c r="M119" s="202"/>
      <c r="N119" s="202"/>
      <c r="O119" s="202"/>
      <c r="P119" s="202"/>
    </row>
    <row r="120" spans="13:16" ht="12.75">
      <c r="M120" s="202"/>
      <c r="N120" s="202"/>
      <c r="O120" s="202"/>
      <c r="P120" s="202"/>
    </row>
    <row r="121" spans="13:16" ht="12.75">
      <c r="M121" s="202"/>
      <c r="N121" s="202"/>
      <c r="O121" s="202"/>
      <c r="P121" s="202"/>
    </row>
    <row r="122" spans="13:16" ht="12.75">
      <c r="M122" s="202"/>
      <c r="N122" s="202"/>
      <c r="O122" s="202"/>
      <c r="P122" s="202"/>
    </row>
    <row r="123" spans="13:16" ht="12.75">
      <c r="M123" s="202"/>
      <c r="N123" s="202"/>
      <c r="O123" s="202"/>
      <c r="P123" s="202"/>
    </row>
    <row r="124" spans="13:16" ht="12.75">
      <c r="M124" s="202"/>
      <c r="N124" s="202"/>
      <c r="O124" s="202"/>
      <c r="P124" s="202"/>
    </row>
    <row r="125" spans="13:16" ht="12.75">
      <c r="M125" s="202"/>
      <c r="N125" s="202"/>
      <c r="O125" s="202"/>
      <c r="P125" s="202"/>
    </row>
    <row r="126" spans="13:16" ht="12.75">
      <c r="M126" s="202"/>
      <c r="N126" s="202"/>
      <c r="O126" s="202"/>
      <c r="P126" s="202"/>
    </row>
    <row r="127" spans="13:16" ht="12.75">
      <c r="M127" s="202"/>
      <c r="N127" s="202"/>
      <c r="O127" s="202"/>
      <c r="P127" s="202"/>
    </row>
    <row r="128" spans="13:16" ht="12.75">
      <c r="M128" s="202"/>
      <c r="N128" s="202"/>
      <c r="O128" s="202"/>
      <c r="P128" s="202"/>
    </row>
    <row r="129" spans="13:16" ht="12.75">
      <c r="M129" s="202"/>
      <c r="N129" s="202"/>
      <c r="O129" s="202"/>
      <c r="P129" s="202"/>
    </row>
    <row r="130" spans="13:16" ht="12.75">
      <c r="M130" s="202"/>
      <c r="N130" s="202"/>
      <c r="O130" s="202"/>
      <c r="P130" s="202"/>
    </row>
    <row r="131" spans="13:16" ht="12.75">
      <c r="M131" s="202"/>
      <c r="N131" s="202"/>
      <c r="O131" s="202"/>
      <c r="P131" s="202"/>
    </row>
    <row r="132" spans="13:16" ht="12.75">
      <c r="M132" s="202"/>
      <c r="N132" s="202"/>
      <c r="O132" s="202"/>
      <c r="P132" s="202"/>
    </row>
    <row r="133" spans="13:16" ht="12.75">
      <c r="M133" s="202"/>
      <c r="N133" s="202"/>
      <c r="O133" s="202"/>
      <c r="P133" s="202"/>
    </row>
    <row r="134" spans="13:16" ht="12.75">
      <c r="M134" s="202"/>
      <c r="N134" s="202"/>
      <c r="O134" s="202"/>
      <c r="P134" s="202"/>
    </row>
    <row r="135" spans="13:16" ht="12.75">
      <c r="M135" s="202"/>
      <c r="N135" s="202"/>
      <c r="O135" s="202"/>
      <c r="P135" s="202"/>
    </row>
    <row r="136" spans="13:16" ht="12.75">
      <c r="M136" s="202"/>
      <c r="N136" s="202"/>
      <c r="O136" s="202"/>
      <c r="P136" s="202"/>
    </row>
    <row r="137" spans="13:16" ht="12.75">
      <c r="M137" s="202"/>
      <c r="N137" s="202"/>
      <c r="O137" s="202"/>
      <c r="P137" s="202"/>
    </row>
    <row r="138" spans="13:16" ht="12.75">
      <c r="M138" s="202"/>
      <c r="N138" s="202"/>
      <c r="O138" s="202"/>
      <c r="P138" s="202"/>
    </row>
    <row r="139" spans="13:16" ht="12.75">
      <c r="M139" s="202"/>
      <c r="N139" s="202"/>
      <c r="O139" s="202"/>
      <c r="P139" s="202"/>
    </row>
    <row r="140" spans="13:16" ht="12.75">
      <c r="M140" s="202"/>
      <c r="N140" s="202"/>
      <c r="O140" s="202"/>
      <c r="P140" s="202"/>
    </row>
    <row r="141" spans="13:16" ht="12.75">
      <c r="M141" s="202"/>
      <c r="N141" s="202"/>
      <c r="O141" s="202"/>
      <c r="P141" s="202"/>
    </row>
    <row r="142" spans="13:16" ht="12.75">
      <c r="M142" s="202"/>
      <c r="N142" s="202"/>
      <c r="O142" s="202"/>
      <c r="P142" s="202"/>
    </row>
    <row r="143" spans="13:16" ht="12.75">
      <c r="M143" s="202"/>
      <c r="N143" s="202"/>
      <c r="O143" s="202"/>
      <c r="P143" s="202"/>
    </row>
    <row r="144" spans="13:16" ht="12.75">
      <c r="M144" s="202"/>
      <c r="N144" s="202"/>
      <c r="O144" s="202"/>
      <c r="P144" s="202"/>
    </row>
    <row r="145" spans="13:16" ht="12.75">
      <c r="M145" s="202"/>
      <c r="N145" s="202"/>
      <c r="O145" s="202"/>
      <c r="P145" s="202"/>
    </row>
    <row r="146" spans="13:16" ht="12.75">
      <c r="M146" s="202"/>
      <c r="N146" s="202"/>
      <c r="O146" s="202"/>
      <c r="P146" s="202"/>
    </row>
    <row r="147" spans="13:16" ht="12.75">
      <c r="M147" s="202"/>
      <c r="N147" s="202"/>
      <c r="O147" s="202"/>
      <c r="P147" s="202"/>
    </row>
    <row r="148" spans="13:16" ht="12.75">
      <c r="M148" s="202"/>
      <c r="N148" s="202"/>
      <c r="O148" s="202"/>
      <c r="P148" s="202"/>
    </row>
    <row r="149" spans="13:16" ht="12.75">
      <c r="M149" s="202"/>
      <c r="N149" s="202"/>
      <c r="O149" s="202"/>
      <c r="P149" s="202"/>
    </row>
    <row r="150" spans="13:16" ht="12.75">
      <c r="M150" s="202"/>
      <c r="N150" s="202"/>
      <c r="O150" s="202"/>
      <c r="P150" s="202"/>
    </row>
    <row r="151" spans="13:16" ht="12.75">
      <c r="M151" s="202"/>
      <c r="N151" s="202"/>
      <c r="O151" s="202"/>
      <c r="P151" s="202"/>
    </row>
    <row r="152" spans="13:16" ht="12.75">
      <c r="M152" s="202"/>
      <c r="N152" s="202"/>
      <c r="O152" s="202"/>
      <c r="P152" s="202"/>
    </row>
    <row r="153" spans="13:16" ht="12.75">
      <c r="M153" s="202"/>
      <c r="N153" s="202"/>
      <c r="O153" s="202"/>
      <c r="P153" s="202"/>
    </row>
    <row r="154" spans="13:16" ht="12.75">
      <c r="M154" s="202"/>
      <c r="N154" s="202"/>
      <c r="O154" s="202"/>
      <c r="P154" s="202"/>
    </row>
    <row r="155" spans="13:16" ht="12.75">
      <c r="M155" s="202"/>
      <c r="N155" s="202"/>
      <c r="O155" s="202"/>
      <c r="P155" s="202"/>
    </row>
    <row r="156" spans="13:16" ht="12.75">
      <c r="M156" s="202"/>
      <c r="N156" s="202"/>
      <c r="O156" s="202"/>
      <c r="P156" s="202"/>
    </row>
    <row r="157" spans="13:16" ht="12.75">
      <c r="M157" s="202"/>
      <c r="N157" s="202"/>
      <c r="O157" s="202"/>
      <c r="P157" s="202"/>
    </row>
    <row r="158" spans="13:16" ht="12.75">
      <c r="M158" s="202"/>
      <c r="N158" s="202"/>
      <c r="O158" s="202"/>
      <c r="P158" s="202"/>
    </row>
    <row r="159" spans="13:16" ht="12.75">
      <c r="M159" s="202"/>
      <c r="N159" s="202"/>
      <c r="O159" s="202"/>
      <c r="P159" s="202"/>
    </row>
    <row r="160" spans="13:16" ht="12.75">
      <c r="M160" s="202"/>
      <c r="N160" s="202"/>
      <c r="O160" s="202"/>
      <c r="P160" s="202"/>
    </row>
    <row r="161" spans="13:16" ht="12.75">
      <c r="M161" s="202"/>
      <c r="N161" s="202"/>
      <c r="O161" s="202"/>
      <c r="P161" s="202"/>
    </row>
    <row r="162" spans="13:16" ht="12.75">
      <c r="M162" s="202"/>
      <c r="N162" s="202"/>
      <c r="O162" s="202"/>
      <c r="P162" s="202"/>
    </row>
    <row r="163" spans="13:16" ht="12.75">
      <c r="M163" s="202"/>
      <c r="N163" s="202"/>
      <c r="O163" s="202"/>
      <c r="P163" s="202"/>
    </row>
    <row r="164" spans="13:16" ht="12.75">
      <c r="M164" s="202"/>
      <c r="N164" s="202"/>
      <c r="O164" s="202"/>
      <c r="P164" s="202"/>
    </row>
    <row r="165" spans="13:16" ht="12.75">
      <c r="M165" s="202"/>
      <c r="N165" s="202"/>
      <c r="O165" s="202"/>
      <c r="P165" s="202"/>
    </row>
    <row r="166" spans="13:16" ht="12.75">
      <c r="M166" s="202"/>
      <c r="N166" s="202"/>
      <c r="O166" s="202"/>
      <c r="P166" s="202"/>
    </row>
    <row r="167" spans="13:16" ht="12.75">
      <c r="M167" s="202"/>
      <c r="N167" s="202"/>
      <c r="O167" s="202"/>
      <c r="P167" s="202"/>
    </row>
    <row r="168" spans="13:16" ht="12.75">
      <c r="M168" s="202"/>
      <c r="N168" s="202"/>
      <c r="O168" s="202"/>
      <c r="P168" s="202"/>
    </row>
    <row r="169" spans="13:16" ht="12.75">
      <c r="M169" s="202"/>
      <c r="N169" s="202"/>
      <c r="O169" s="202"/>
      <c r="P169" s="202"/>
    </row>
    <row r="170" spans="13:16" ht="12.75">
      <c r="M170" s="202"/>
      <c r="N170" s="202"/>
      <c r="O170" s="202"/>
      <c r="P170" s="202"/>
    </row>
    <row r="171" spans="13:16" ht="12.75">
      <c r="M171" s="202"/>
      <c r="N171" s="202"/>
      <c r="O171" s="202"/>
      <c r="P171" s="202"/>
    </row>
    <row r="172" spans="13:16" ht="12.75">
      <c r="M172" s="202"/>
      <c r="N172" s="202"/>
      <c r="O172" s="202"/>
      <c r="P172" s="202"/>
    </row>
    <row r="173" spans="13:16" ht="12.75">
      <c r="M173" s="202"/>
      <c r="N173" s="202"/>
      <c r="O173" s="202"/>
      <c r="P173" s="202"/>
    </row>
    <row r="174" spans="13:16" ht="12.75">
      <c r="M174" s="202"/>
      <c r="N174" s="202"/>
      <c r="O174" s="202"/>
      <c r="P174" s="202"/>
    </row>
    <row r="175" spans="13:16" ht="12.75">
      <c r="M175" s="202"/>
      <c r="N175" s="202"/>
      <c r="O175" s="202"/>
      <c r="P175" s="202"/>
    </row>
    <row r="176" spans="13:16" ht="12.75">
      <c r="M176" s="202"/>
      <c r="N176" s="202"/>
      <c r="O176" s="202"/>
      <c r="P176" s="202"/>
    </row>
    <row r="177" spans="13:16" ht="12.75">
      <c r="M177" s="202"/>
      <c r="N177" s="202"/>
      <c r="O177" s="202"/>
      <c r="P177" s="202"/>
    </row>
    <row r="178" spans="13:16" ht="12.75">
      <c r="M178" s="202"/>
      <c r="N178" s="202"/>
      <c r="O178" s="202"/>
      <c r="P178" s="202"/>
    </row>
    <row r="179" spans="13:16" ht="12.75">
      <c r="M179" s="202"/>
      <c r="N179" s="202"/>
      <c r="O179" s="202"/>
      <c r="P179" s="202"/>
    </row>
    <row r="180" spans="13:16" ht="12.75">
      <c r="M180" s="202"/>
      <c r="N180" s="202"/>
      <c r="O180" s="202"/>
      <c r="P180" s="202"/>
    </row>
    <row r="181" spans="13:16" ht="12.75">
      <c r="M181" s="202"/>
      <c r="N181" s="202"/>
      <c r="O181" s="202"/>
      <c r="P181" s="202"/>
    </row>
    <row r="182" spans="13:16" ht="12.75">
      <c r="M182" s="202"/>
      <c r="N182" s="202"/>
      <c r="O182" s="202"/>
      <c r="P182" s="202"/>
    </row>
    <row r="183" spans="13:16" ht="12.75">
      <c r="M183" s="202"/>
      <c r="N183" s="202"/>
      <c r="O183" s="202"/>
      <c r="P183" s="202"/>
    </row>
    <row r="184" spans="13:16" ht="12.75">
      <c r="M184" s="202"/>
      <c r="N184" s="202"/>
      <c r="O184" s="202"/>
      <c r="P184" s="202"/>
    </row>
    <row r="185" spans="13:16" ht="12.75">
      <c r="M185" s="202"/>
      <c r="N185" s="202"/>
      <c r="O185" s="202"/>
      <c r="P185" s="202"/>
    </row>
    <row r="186" spans="13:16" ht="12.75">
      <c r="M186" s="202"/>
      <c r="N186" s="202"/>
      <c r="O186" s="202"/>
      <c r="P186" s="202"/>
    </row>
    <row r="187" spans="13:16" ht="12.75">
      <c r="M187" s="202"/>
      <c r="N187" s="202"/>
      <c r="O187" s="202"/>
      <c r="P187" s="202"/>
    </row>
    <row r="188" spans="13:16" ht="12.75">
      <c r="M188" s="202"/>
      <c r="N188" s="202"/>
      <c r="O188" s="202"/>
      <c r="P188" s="202"/>
    </row>
    <row r="189" spans="13:16" ht="12.75">
      <c r="M189" s="202"/>
      <c r="N189" s="202"/>
      <c r="O189" s="202"/>
      <c r="P189" s="202"/>
    </row>
    <row r="190" spans="13:16" ht="12.75">
      <c r="M190" s="202"/>
      <c r="N190" s="202"/>
      <c r="O190" s="202"/>
      <c r="P190" s="202"/>
    </row>
    <row r="191" spans="13:16" ht="12.75">
      <c r="M191" s="202"/>
      <c r="N191" s="202"/>
      <c r="O191" s="202"/>
      <c r="P191" s="202"/>
    </row>
    <row r="192" spans="13:16" ht="12.75">
      <c r="M192" s="202"/>
      <c r="N192" s="202"/>
      <c r="O192" s="202"/>
      <c r="P192" s="202"/>
    </row>
    <row r="193" spans="13:16" ht="12.75">
      <c r="M193" s="202"/>
      <c r="N193" s="202"/>
      <c r="O193" s="202"/>
      <c r="P193" s="202"/>
    </row>
    <row r="194" spans="13:16" ht="12.75">
      <c r="M194" s="202"/>
      <c r="N194" s="202"/>
      <c r="O194" s="202"/>
      <c r="P194" s="202"/>
    </row>
    <row r="195" spans="13:16" ht="12.75">
      <c r="M195" s="202"/>
      <c r="N195" s="202"/>
      <c r="O195" s="202"/>
      <c r="P195" s="202"/>
    </row>
    <row r="196" spans="13:16" ht="12.75">
      <c r="M196" s="202"/>
      <c r="N196" s="202"/>
      <c r="O196" s="202"/>
      <c r="P196" s="202"/>
    </row>
    <row r="197" spans="13:16" ht="12.75">
      <c r="M197" s="202"/>
      <c r="N197" s="202"/>
      <c r="O197" s="202"/>
      <c r="P197" s="202"/>
    </row>
    <row r="198" spans="13:16" ht="12.75">
      <c r="M198" s="202"/>
      <c r="N198" s="202"/>
      <c r="O198" s="202"/>
      <c r="P198" s="202"/>
    </row>
    <row r="199" spans="13:16" ht="12.75">
      <c r="M199" s="202"/>
      <c r="N199" s="202"/>
      <c r="O199" s="202"/>
      <c r="P199" s="202"/>
    </row>
    <row r="200" spans="13:16" ht="12.75">
      <c r="M200" s="202"/>
      <c r="N200" s="202"/>
      <c r="O200" s="202"/>
      <c r="P200" s="202"/>
    </row>
    <row r="201" spans="13:16" ht="12.75">
      <c r="M201" s="202"/>
      <c r="N201" s="202"/>
      <c r="O201" s="202"/>
      <c r="P201" s="202"/>
    </row>
    <row r="202" spans="13:16" ht="12.75">
      <c r="M202" s="202"/>
      <c r="N202" s="202"/>
      <c r="O202" s="202"/>
      <c r="P202" s="202"/>
    </row>
    <row r="203" spans="13:16" ht="12.75">
      <c r="M203" s="202"/>
      <c r="N203" s="202"/>
      <c r="O203" s="202"/>
      <c r="P203" s="202"/>
    </row>
    <row r="204" spans="13:16" ht="12.75">
      <c r="M204" s="202"/>
      <c r="N204" s="202"/>
      <c r="O204" s="202"/>
      <c r="P204" s="202"/>
    </row>
    <row r="205" spans="13:16" ht="12.75">
      <c r="M205" s="202"/>
      <c r="N205" s="202"/>
      <c r="O205" s="202"/>
      <c r="P205" s="202"/>
    </row>
    <row r="206" spans="13:16" ht="12.75">
      <c r="M206" s="202"/>
      <c r="N206" s="202"/>
      <c r="O206" s="202"/>
      <c r="P206" s="202"/>
    </row>
    <row r="207" spans="13:16" ht="12.75">
      <c r="M207" s="202"/>
      <c r="N207" s="202"/>
      <c r="O207" s="202"/>
      <c r="P207" s="202"/>
    </row>
    <row r="208" spans="13:16" ht="12.75">
      <c r="M208" s="202"/>
      <c r="N208" s="202"/>
      <c r="O208" s="202"/>
      <c r="P208" s="202"/>
    </row>
    <row r="209" spans="13:16" ht="12.75">
      <c r="M209" s="202"/>
      <c r="N209" s="202"/>
      <c r="O209" s="202"/>
      <c r="P209" s="202"/>
    </row>
    <row r="210" spans="13:16" ht="12.75">
      <c r="M210" s="202"/>
      <c r="N210" s="202"/>
      <c r="O210" s="202"/>
      <c r="P210" s="202"/>
    </row>
    <row r="211" spans="13:16" ht="12.75">
      <c r="M211" s="202"/>
      <c r="N211" s="202"/>
      <c r="O211" s="202"/>
      <c r="P211" s="202"/>
    </row>
    <row r="212" spans="13:16" ht="12.75">
      <c r="M212" s="202"/>
      <c r="N212" s="202"/>
      <c r="O212" s="202"/>
      <c r="P212" s="202"/>
    </row>
    <row r="213" spans="13:16" ht="12.75">
      <c r="M213" s="202"/>
      <c r="N213" s="202"/>
      <c r="O213" s="202"/>
      <c r="P213" s="202"/>
    </row>
    <row r="214" spans="13:16" ht="12.75">
      <c r="M214" s="202"/>
      <c r="N214" s="202"/>
      <c r="O214" s="202"/>
      <c r="P214" s="202"/>
    </row>
    <row r="215" spans="13:16" ht="12.75">
      <c r="M215" s="202"/>
      <c r="N215" s="202"/>
      <c r="O215" s="202"/>
      <c r="P215" s="202"/>
    </row>
    <row r="216" spans="13:16" ht="12.75">
      <c r="M216" s="202"/>
      <c r="N216" s="202"/>
      <c r="O216" s="202"/>
      <c r="P216" s="202"/>
    </row>
    <row r="217" spans="13:16" ht="12.75">
      <c r="M217" s="202"/>
      <c r="N217" s="202"/>
      <c r="O217" s="202"/>
      <c r="P217" s="202"/>
    </row>
    <row r="218" spans="13:16" ht="12.75">
      <c r="M218" s="202"/>
      <c r="N218" s="202"/>
      <c r="O218" s="202"/>
      <c r="P218" s="202"/>
    </row>
    <row r="219" spans="13:16" ht="12.75">
      <c r="M219" s="202"/>
      <c r="N219" s="202"/>
      <c r="O219" s="202"/>
      <c r="P219" s="202"/>
    </row>
    <row r="220" spans="13:16" ht="12.75">
      <c r="M220" s="202"/>
      <c r="N220" s="202"/>
      <c r="O220" s="202"/>
      <c r="P220" s="202"/>
    </row>
    <row r="221" spans="13:16" ht="12.75">
      <c r="M221" s="202"/>
      <c r="N221" s="202"/>
      <c r="O221" s="202"/>
      <c r="P221" s="202"/>
    </row>
    <row r="222" spans="13:16" ht="12.75">
      <c r="M222" s="202"/>
      <c r="N222" s="202"/>
      <c r="O222" s="202"/>
      <c r="P222" s="202"/>
    </row>
    <row r="223" spans="13:16" ht="12.75">
      <c r="M223" s="202"/>
      <c r="N223" s="202"/>
      <c r="O223" s="202"/>
      <c r="P223" s="202"/>
    </row>
    <row r="224" spans="13:16" ht="12.75">
      <c r="M224" s="202"/>
      <c r="N224" s="202"/>
      <c r="O224" s="202"/>
      <c r="P224" s="202"/>
    </row>
    <row r="225" spans="13:16" ht="12.75">
      <c r="M225" s="202"/>
      <c r="N225" s="202"/>
      <c r="O225" s="202"/>
      <c r="P225" s="202"/>
    </row>
    <row r="226" spans="13:16" ht="12.75">
      <c r="M226" s="202"/>
      <c r="N226" s="202"/>
      <c r="O226" s="202"/>
      <c r="P226" s="202"/>
    </row>
    <row r="227" spans="13:16" ht="12.75">
      <c r="M227" s="202"/>
      <c r="N227" s="202"/>
      <c r="O227" s="202"/>
      <c r="P227" s="202"/>
    </row>
    <row r="228" spans="13:16" ht="12.75">
      <c r="M228" s="202"/>
      <c r="N228" s="202"/>
      <c r="O228" s="202"/>
      <c r="P228" s="202"/>
    </row>
    <row r="229" spans="13:16" ht="12.75">
      <c r="M229" s="202"/>
      <c r="N229" s="202"/>
      <c r="O229" s="202"/>
      <c r="P229" s="202"/>
    </row>
    <row r="230" spans="13:16" ht="12.75">
      <c r="M230" s="202"/>
      <c r="N230" s="202"/>
      <c r="O230" s="202"/>
      <c r="P230" s="202"/>
    </row>
    <row r="231" spans="13:16" ht="12.75">
      <c r="M231" s="202"/>
      <c r="N231" s="202"/>
      <c r="O231" s="202"/>
      <c r="P231" s="202"/>
    </row>
    <row r="232" spans="13:16" ht="12.75">
      <c r="M232" s="202"/>
      <c r="N232" s="202"/>
      <c r="O232" s="202"/>
      <c r="P232" s="202"/>
    </row>
    <row r="233" spans="13:16" ht="12.75">
      <c r="M233" s="202"/>
      <c r="N233" s="202"/>
      <c r="O233" s="202"/>
      <c r="P233" s="202"/>
    </row>
    <row r="234" spans="13:16" ht="12.75">
      <c r="M234" s="202"/>
      <c r="N234" s="202"/>
      <c r="O234" s="202"/>
      <c r="P234" s="202"/>
    </row>
    <row r="235" spans="13:16" ht="12.75">
      <c r="M235" s="202"/>
      <c r="N235" s="202"/>
      <c r="O235" s="202"/>
      <c r="P235" s="202"/>
    </row>
    <row r="236" spans="13:16" ht="12.75">
      <c r="M236" s="202"/>
      <c r="N236" s="202"/>
      <c r="O236" s="202"/>
      <c r="P236" s="202"/>
    </row>
    <row r="237" spans="13:16" ht="12.75">
      <c r="M237" s="202"/>
      <c r="N237" s="202"/>
      <c r="O237" s="202"/>
      <c r="P237" s="202"/>
    </row>
    <row r="238" spans="13:16" ht="12.75">
      <c r="M238" s="202"/>
      <c r="N238" s="202"/>
      <c r="O238" s="202"/>
      <c r="P238" s="202"/>
    </row>
    <row r="239" spans="13:16" ht="12.75">
      <c r="M239" s="202"/>
      <c r="N239" s="202"/>
      <c r="O239" s="202"/>
      <c r="P239" s="202"/>
    </row>
    <row r="240" spans="13:16" ht="12.75">
      <c r="M240" s="202"/>
      <c r="N240" s="202"/>
      <c r="O240" s="202"/>
      <c r="P240" s="202"/>
    </row>
    <row r="241" spans="13:16" ht="12.75">
      <c r="M241" s="202"/>
      <c r="N241" s="202"/>
      <c r="O241" s="202"/>
      <c r="P241" s="202"/>
    </row>
    <row r="242" spans="13:16" ht="12.75">
      <c r="M242" s="202"/>
      <c r="N242" s="202"/>
      <c r="O242" s="202"/>
      <c r="P242" s="202"/>
    </row>
    <row r="243" spans="13:16" ht="12.75">
      <c r="M243" s="202"/>
      <c r="N243" s="202"/>
      <c r="O243" s="202"/>
      <c r="P243" s="202"/>
    </row>
    <row r="244" spans="13:16" ht="12.75">
      <c r="M244" s="202"/>
      <c r="N244" s="202"/>
      <c r="O244" s="202"/>
      <c r="P244" s="202"/>
    </row>
    <row r="245" spans="13:16" ht="12.75">
      <c r="M245" s="202"/>
      <c r="N245" s="202"/>
      <c r="O245" s="202"/>
      <c r="P245" s="202"/>
    </row>
    <row r="246" spans="13:16" ht="12.75">
      <c r="M246" s="202"/>
      <c r="N246" s="202"/>
      <c r="O246" s="202"/>
      <c r="P246" s="202"/>
    </row>
    <row r="247" spans="13:16" ht="12.75">
      <c r="M247" s="202"/>
      <c r="N247" s="202"/>
      <c r="O247" s="202"/>
      <c r="P247" s="202"/>
    </row>
    <row r="248" spans="13:16" ht="12.75">
      <c r="M248" s="202"/>
      <c r="N248" s="202"/>
      <c r="O248" s="202"/>
      <c r="P248" s="202"/>
    </row>
    <row r="249" spans="13:16" ht="12.75">
      <c r="M249" s="202"/>
      <c r="N249" s="202"/>
      <c r="O249" s="202"/>
      <c r="P249" s="202"/>
    </row>
    <row r="250" spans="13:16" ht="12.75">
      <c r="M250" s="202"/>
      <c r="N250" s="202"/>
      <c r="O250" s="202"/>
      <c r="P250" s="202"/>
    </row>
    <row r="251" spans="13:16" ht="12.75">
      <c r="M251" s="202"/>
      <c r="N251" s="202"/>
      <c r="O251" s="202"/>
      <c r="P251" s="202"/>
    </row>
    <row r="252" spans="13:16" ht="12.75">
      <c r="M252" s="202"/>
      <c r="N252" s="202"/>
      <c r="O252" s="202"/>
      <c r="P252" s="202"/>
    </row>
    <row r="253" spans="13:16" ht="12.75">
      <c r="M253" s="202"/>
      <c r="N253" s="202"/>
      <c r="O253" s="202"/>
      <c r="P253" s="202"/>
    </row>
    <row r="254" spans="13:16" ht="12.75">
      <c r="M254" s="202"/>
      <c r="N254" s="202"/>
      <c r="O254" s="202"/>
      <c r="P254" s="202"/>
    </row>
    <row r="255" spans="13:16" ht="12.75">
      <c r="M255" s="202"/>
      <c r="N255" s="202"/>
      <c r="O255" s="202"/>
      <c r="P255" s="202"/>
    </row>
    <row r="256" spans="13:16" ht="12.75">
      <c r="M256" s="202"/>
      <c r="N256" s="202"/>
      <c r="O256" s="202"/>
      <c r="P256" s="202"/>
    </row>
    <row r="257" spans="13:16" ht="12.75">
      <c r="M257" s="202"/>
      <c r="N257" s="202"/>
      <c r="O257" s="202"/>
      <c r="P257" s="202"/>
    </row>
    <row r="258" spans="13:16" ht="12.75">
      <c r="M258" s="202"/>
      <c r="N258" s="202"/>
      <c r="O258" s="202"/>
      <c r="P258" s="202"/>
    </row>
    <row r="259" spans="13:16" ht="12.75">
      <c r="M259" s="202"/>
      <c r="N259" s="202"/>
      <c r="O259" s="202"/>
      <c r="P259" s="202"/>
    </row>
    <row r="260" spans="13:16" ht="12.75">
      <c r="M260" s="202"/>
      <c r="N260" s="202"/>
      <c r="O260" s="202"/>
      <c r="P260" s="202"/>
    </row>
    <row r="261" spans="13:16" ht="12.75">
      <c r="M261" s="202"/>
      <c r="N261" s="202"/>
      <c r="O261" s="202"/>
      <c r="P261" s="202"/>
    </row>
    <row r="262" spans="13:16" ht="12.75">
      <c r="M262" s="202"/>
      <c r="N262" s="202"/>
      <c r="O262" s="202"/>
      <c r="P262" s="202"/>
    </row>
    <row r="263" spans="13:16" ht="12.75">
      <c r="M263" s="202"/>
      <c r="N263" s="202"/>
      <c r="O263" s="202"/>
      <c r="P263" s="202"/>
    </row>
    <row r="264" spans="13:16" ht="12.75">
      <c r="M264" s="202"/>
      <c r="N264" s="202"/>
      <c r="O264" s="202"/>
      <c r="P264" s="202"/>
    </row>
    <row r="265" spans="13:16" ht="12.75">
      <c r="M265" s="202"/>
      <c r="N265" s="202"/>
      <c r="O265" s="202"/>
      <c r="P265" s="202"/>
    </row>
    <row r="266" spans="13:16" ht="12.75">
      <c r="M266" s="202"/>
      <c r="N266" s="202"/>
      <c r="O266" s="202"/>
      <c r="P266" s="202"/>
    </row>
    <row r="267" spans="13:16" ht="12.75">
      <c r="M267" s="202"/>
      <c r="N267" s="202"/>
      <c r="O267" s="202"/>
      <c r="P267" s="202"/>
    </row>
    <row r="268" spans="13:16" ht="12.75">
      <c r="M268" s="202"/>
      <c r="N268" s="202"/>
      <c r="O268" s="202"/>
      <c r="P268" s="202"/>
    </row>
    <row r="269" spans="13:16" ht="12.75">
      <c r="M269" s="202"/>
      <c r="N269" s="202"/>
      <c r="O269" s="202"/>
      <c r="P269" s="202"/>
    </row>
    <row r="270" spans="13:16" ht="12.75">
      <c r="M270" s="202"/>
      <c r="N270" s="202"/>
      <c r="O270" s="202"/>
      <c r="P270" s="202"/>
    </row>
    <row r="271" spans="13:16" ht="12.75">
      <c r="M271" s="202"/>
      <c r="N271" s="202"/>
      <c r="O271" s="202"/>
      <c r="P271" s="202"/>
    </row>
    <row r="272" spans="13:16" ht="12.75">
      <c r="M272" s="202"/>
      <c r="N272" s="202"/>
      <c r="O272" s="202"/>
      <c r="P272" s="202"/>
    </row>
    <row r="273" spans="13:16" ht="12.75">
      <c r="M273" s="202"/>
      <c r="N273" s="202"/>
      <c r="O273" s="202"/>
      <c r="P273" s="202"/>
    </row>
    <row r="274" spans="13:16" ht="12.75">
      <c r="M274" s="202"/>
      <c r="N274" s="202"/>
      <c r="O274" s="202"/>
      <c r="P274" s="202"/>
    </row>
    <row r="275" spans="13:16" ht="12.75">
      <c r="M275" s="202"/>
      <c r="N275" s="202"/>
      <c r="O275" s="202"/>
      <c r="P275" s="202"/>
    </row>
    <row r="276" spans="13:16" ht="12.75">
      <c r="M276" s="202"/>
      <c r="N276" s="202"/>
      <c r="O276" s="202"/>
      <c r="P276" s="202"/>
    </row>
    <row r="277" spans="13:16" ht="12.75">
      <c r="M277" s="202"/>
      <c r="N277" s="202"/>
      <c r="O277" s="202"/>
      <c r="P277" s="202"/>
    </row>
    <row r="278" spans="13:16" ht="12.75">
      <c r="M278" s="202"/>
      <c r="N278" s="202"/>
      <c r="O278" s="202"/>
      <c r="P278" s="202"/>
    </row>
    <row r="279" spans="13:16" ht="12.75">
      <c r="M279" s="202"/>
      <c r="N279" s="202"/>
      <c r="O279" s="202"/>
      <c r="P279" s="202"/>
    </row>
    <row r="280" spans="13:16" ht="12.75">
      <c r="M280" s="202"/>
      <c r="N280" s="202"/>
      <c r="O280" s="202"/>
      <c r="P280" s="202"/>
    </row>
    <row r="281" spans="13:16" ht="12.75">
      <c r="M281" s="202"/>
      <c r="N281" s="202"/>
      <c r="O281" s="202"/>
      <c r="P281" s="202"/>
    </row>
    <row r="282" spans="13:16" ht="12.75">
      <c r="M282" s="202"/>
      <c r="N282" s="202"/>
      <c r="O282" s="202"/>
      <c r="P282" s="202"/>
    </row>
    <row r="283" spans="13:16" ht="12.75">
      <c r="M283" s="202"/>
      <c r="N283" s="202"/>
      <c r="O283" s="202"/>
      <c r="P283" s="202"/>
    </row>
    <row r="284" spans="13:16" ht="12.75">
      <c r="M284" s="202"/>
      <c r="N284" s="202"/>
      <c r="O284" s="202"/>
      <c r="P284" s="202"/>
    </row>
    <row r="285" spans="13:16" ht="12.75">
      <c r="M285" s="202"/>
      <c r="N285" s="202"/>
      <c r="O285" s="202"/>
      <c r="P285" s="202"/>
    </row>
    <row r="286" spans="13:16" ht="12.75">
      <c r="M286" s="202"/>
      <c r="N286" s="202"/>
      <c r="O286" s="202"/>
      <c r="P286" s="202"/>
    </row>
    <row r="287" spans="13:16" ht="12.75">
      <c r="M287" s="202"/>
      <c r="N287" s="202"/>
      <c r="O287" s="202"/>
      <c r="P287" s="202"/>
    </row>
    <row r="288" spans="13:16" ht="12.75">
      <c r="M288" s="202"/>
      <c r="N288" s="202"/>
      <c r="O288" s="202"/>
      <c r="P288" s="202"/>
    </row>
    <row r="289" spans="13:16" ht="12.75">
      <c r="M289" s="202"/>
      <c r="N289" s="202"/>
      <c r="O289" s="202"/>
      <c r="P289" s="202"/>
    </row>
    <row r="290" spans="13:16" ht="12.75">
      <c r="M290" s="202"/>
      <c r="N290" s="202"/>
      <c r="O290" s="202"/>
      <c r="P290" s="202"/>
    </row>
    <row r="291" spans="13:16" ht="12.75">
      <c r="M291" s="202"/>
      <c r="N291" s="202"/>
      <c r="O291" s="202"/>
      <c r="P291" s="202"/>
    </row>
    <row r="292" spans="13:16" ht="12.75">
      <c r="M292" s="202"/>
      <c r="N292" s="202"/>
      <c r="O292" s="202"/>
      <c r="P292" s="202"/>
    </row>
    <row r="293" spans="13:16" ht="12.75">
      <c r="M293" s="202"/>
      <c r="N293" s="202"/>
      <c r="O293" s="202"/>
      <c r="P293" s="202"/>
    </row>
    <row r="294" spans="13:16" ht="12.75">
      <c r="M294" s="202"/>
      <c r="N294" s="202"/>
      <c r="O294" s="202"/>
      <c r="P294" s="202"/>
    </row>
    <row r="295" spans="13:16" ht="12.75">
      <c r="M295" s="202"/>
      <c r="N295" s="202"/>
      <c r="O295" s="202"/>
      <c r="P295" s="202"/>
    </row>
    <row r="296" spans="13:16" ht="12.75">
      <c r="M296" s="202"/>
      <c r="N296" s="202"/>
      <c r="O296" s="202"/>
      <c r="P296" s="202"/>
    </row>
    <row r="297" spans="13:16" ht="12.75">
      <c r="M297" s="202"/>
      <c r="N297" s="202"/>
      <c r="O297" s="202"/>
      <c r="P297" s="202"/>
    </row>
  </sheetData>
  <sheetProtection password="CAF5" sheet="1" objects="1" scenarios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rintOptions horizontalCentered="1"/>
  <pageMargins left="0.47" right="0.59" top="0.83" bottom="1" header="0.67" footer="0.5"/>
  <pageSetup fitToHeight="1" fitToWidth="1" horizontalDpi="600" verticalDpi="600" orientation="landscape" scale="75" r:id="rId1"/>
  <headerFooter alignWithMargins="0">
    <oddFooter>&amp;L&amp;"Arial,Italic"&amp;9MSDE - LFRO  11 / 2012&amp;C- 6 -&amp;R&amp;"Arial,Italic"&amp;9Selected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F1">
      <selection activeCell="G33" sqref="G33"/>
    </sheetView>
  </sheetViews>
  <sheetFormatPr defaultColWidth="9.140625" defaultRowHeight="12.75"/>
  <cols>
    <col min="1" max="1" width="14.421875" style="151" customWidth="1"/>
    <col min="2" max="2" width="18.8515625" style="255" customWidth="1"/>
    <col min="3" max="3" width="19.421875" style="240" customWidth="1"/>
    <col min="4" max="4" width="18.140625" style="255" customWidth="1"/>
    <col min="5" max="5" width="15.28125" style="240" customWidth="1"/>
    <col min="6" max="7" width="16.28125" style="255" customWidth="1"/>
    <col min="8" max="8" width="14.8515625" style="255" customWidth="1"/>
    <col min="9" max="9" width="16.28125" style="255" customWidth="1"/>
    <col min="11" max="11" width="12.57421875" style="0" bestFit="1" customWidth="1"/>
    <col min="12" max="13" width="14.28125" style="0" bestFit="1" customWidth="1"/>
    <col min="14" max="14" width="15.140625" style="0" customWidth="1"/>
    <col min="15" max="15" width="16.28125" style="0" bestFit="1" customWidth="1"/>
    <col min="16" max="16" width="16.00390625" style="0" bestFit="1" customWidth="1"/>
    <col min="17" max="17" width="14.00390625" style="0" bestFit="1" customWidth="1"/>
    <col min="18" max="18" width="17.8515625" style="0" customWidth="1"/>
    <col min="20" max="20" width="15.28125" style="0" bestFit="1" customWidth="1"/>
    <col min="21" max="21" width="14.28125" style="0" bestFit="1" customWidth="1"/>
    <col min="23" max="23" width="11.28125" style="0" bestFit="1" customWidth="1"/>
    <col min="24" max="24" width="11.7109375" style="0" bestFit="1" customWidth="1"/>
    <col min="27" max="27" width="12.28125" style="0" bestFit="1" customWidth="1"/>
    <col min="28" max="28" width="12.57421875" style="0" bestFit="1" customWidth="1"/>
    <col min="30" max="30" width="12.7109375" style="0" bestFit="1" customWidth="1"/>
    <col min="31" max="31" width="15.28125" style="0" bestFit="1" customWidth="1"/>
    <col min="33" max="33" width="15.00390625" style="0" bestFit="1" customWidth="1"/>
    <col min="35" max="35" width="14.28125" style="0" bestFit="1" customWidth="1"/>
    <col min="36" max="36" width="12.28125" style="0" bestFit="1" customWidth="1"/>
    <col min="37" max="37" width="16.421875" style="0" bestFit="1" customWidth="1"/>
  </cols>
  <sheetData>
    <row r="1" spans="1:9" ht="12.75">
      <c r="A1" s="426" t="s">
        <v>42</v>
      </c>
      <c r="B1" s="426"/>
      <c r="C1" s="426"/>
      <c r="D1" s="426"/>
      <c r="E1" s="426"/>
      <c r="F1" s="426"/>
      <c r="G1" s="426"/>
      <c r="H1" s="426"/>
      <c r="I1" s="426"/>
    </row>
    <row r="2" spans="1:2" ht="12.75">
      <c r="A2" s="23"/>
      <c r="B2" s="231"/>
    </row>
    <row r="3" spans="1:9" ht="12.75">
      <c r="A3" s="448" t="s">
        <v>248</v>
      </c>
      <c r="B3" s="448"/>
      <c r="C3" s="448"/>
      <c r="D3" s="448"/>
      <c r="E3" s="448"/>
      <c r="F3" s="448"/>
      <c r="G3" s="448"/>
      <c r="H3" s="448"/>
      <c r="I3" s="448"/>
    </row>
    <row r="4" spans="1:9" ht="13.5" thickBot="1">
      <c r="A4" s="23"/>
      <c r="D4" s="261"/>
      <c r="E4" s="278"/>
      <c r="F4" s="261"/>
      <c r="G4" s="261"/>
      <c r="H4" s="261"/>
      <c r="I4" s="261"/>
    </row>
    <row r="5" spans="1:9" ht="15" customHeight="1" thickTop="1">
      <c r="A5" s="123"/>
      <c r="B5" s="279"/>
      <c r="C5" s="280"/>
      <c r="D5" s="449" t="s">
        <v>46</v>
      </c>
      <c r="E5" s="449"/>
      <c r="F5" s="449"/>
      <c r="G5" s="449"/>
      <c r="H5" s="449"/>
      <c r="I5" s="449"/>
    </row>
    <row r="6" spans="1:9" ht="12.75" customHeight="1">
      <c r="A6" s="32"/>
      <c r="B6" s="281"/>
      <c r="C6" s="282" t="s">
        <v>43</v>
      </c>
      <c r="D6" s="256"/>
      <c r="E6" s="267"/>
      <c r="F6" s="251"/>
      <c r="G6" s="251"/>
      <c r="H6" s="452" t="s">
        <v>203</v>
      </c>
      <c r="I6" s="450" t="s">
        <v>153</v>
      </c>
    </row>
    <row r="7" spans="1:9" ht="12.75">
      <c r="A7" s="32" t="s">
        <v>77</v>
      </c>
      <c r="B7" s="251" t="s">
        <v>43</v>
      </c>
      <c r="C7" s="282" t="s">
        <v>49</v>
      </c>
      <c r="D7" s="452" t="s">
        <v>163</v>
      </c>
      <c r="E7" s="452" t="s">
        <v>226</v>
      </c>
      <c r="F7" s="452" t="s">
        <v>227</v>
      </c>
      <c r="G7" s="305"/>
      <c r="H7" s="452"/>
      <c r="I7" s="450"/>
    </row>
    <row r="8" spans="1:9" ht="12.75" customHeight="1">
      <c r="A8" s="32" t="s">
        <v>33</v>
      </c>
      <c r="B8" s="283" t="s">
        <v>44</v>
      </c>
      <c r="C8" s="282" t="s">
        <v>50</v>
      </c>
      <c r="D8" s="454"/>
      <c r="E8" s="454"/>
      <c r="F8" s="454"/>
      <c r="G8" s="454" t="s">
        <v>232</v>
      </c>
      <c r="H8" s="452"/>
      <c r="I8" s="450"/>
    </row>
    <row r="9" spans="1:9" ht="13.5" thickBot="1">
      <c r="A9" s="51" t="s">
        <v>132</v>
      </c>
      <c r="B9" s="284" t="s">
        <v>45</v>
      </c>
      <c r="C9" s="285" t="s">
        <v>48</v>
      </c>
      <c r="D9" s="455"/>
      <c r="E9" s="455"/>
      <c r="F9" s="455"/>
      <c r="G9" s="456"/>
      <c r="H9" s="453"/>
      <c r="I9" s="451"/>
    </row>
    <row r="10" spans="1:9" ht="12.75">
      <c r="A10" s="32" t="s">
        <v>0</v>
      </c>
      <c r="B10" s="286">
        <f aca="true" t="shared" si="0" ref="B10:H10">SUM(B12:B39)</f>
        <v>5508344458.849999</v>
      </c>
      <c r="C10" s="286">
        <f t="shared" si="0"/>
        <v>5286341776.429999</v>
      </c>
      <c r="D10" s="286">
        <f t="shared" si="0"/>
        <v>2654866484.2799997</v>
      </c>
      <c r="E10" s="287">
        <f t="shared" si="0"/>
        <v>47391600</v>
      </c>
      <c r="F10" s="287">
        <f t="shared" si="0"/>
        <v>938800</v>
      </c>
      <c r="G10" s="287">
        <f t="shared" si="0"/>
        <v>11077191</v>
      </c>
      <c r="H10" s="286">
        <f t="shared" si="0"/>
        <v>974756066</v>
      </c>
      <c r="I10" s="297">
        <f>SUM(I12:I39)</f>
        <v>809235202.8999999</v>
      </c>
    </row>
    <row r="11" spans="1:9" ht="12.75">
      <c r="A11" s="32"/>
      <c r="B11" s="288"/>
      <c r="D11" s="289"/>
      <c r="E11" s="282"/>
      <c r="F11" s="289"/>
      <c r="G11" s="289"/>
      <c r="H11" s="289"/>
      <c r="I11" s="297"/>
    </row>
    <row r="12" spans="1:9" ht="12.75">
      <c r="A12" s="23" t="s">
        <v>1</v>
      </c>
      <c r="B12" s="231">
        <f>+C12+state5!B11+state5!F11+state5!J11</f>
        <v>88652652.19</v>
      </c>
      <c r="C12" s="240">
        <f>SUM(D12:I12)+SUM(state2!B12:I12)+SUM(state3!B13:I13)+SUM(state4!B13:F13)</f>
        <v>88331565.31</v>
      </c>
      <c r="D12" s="153">
        <v>40562607</v>
      </c>
      <c r="E12" s="374">
        <v>6752554</v>
      </c>
      <c r="F12" s="374">
        <v>0</v>
      </c>
      <c r="G12" s="374">
        <v>0</v>
      </c>
      <c r="H12" s="153">
        <v>20388239</v>
      </c>
      <c r="I12" s="375">
        <v>8449453.44</v>
      </c>
    </row>
    <row r="13" spans="1:9" ht="12.75">
      <c r="A13" s="151" t="s">
        <v>2</v>
      </c>
      <c r="B13" s="231">
        <f>+C13+state5!B12+state5!F12+state5!J12</f>
        <v>360456964.92</v>
      </c>
      <c r="C13" s="240">
        <f>SUM(D13:I13)+SUM(state2!B13:I13)+SUM(state3!B14:I14)+SUM(state4!B14:F14)</f>
        <v>341126038.92</v>
      </c>
      <c r="D13" s="153">
        <v>176485975</v>
      </c>
      <c r="E13" s="376">
        <v>0</v>
      </c>
      <c r="F13" s="374">
        <v>0</v>
      </c>
      <c r="G13" s="376">
        <v>0</v>
      </c>
      <c r="H13" s="153">
        <v>44990147</v>
      </c>
      <c r="I13" s="375">
        <v>69077034.05</v>
      </c>
    </row>
    <row r="14" spans="1:9" ht="12.75">
      <c r="A14" s="151" t="s">
        <v>3</v>
      </c>
      <c r="B14" s="231">
        <f>+C14+state5!B13+state5!F13+state5!J13</f>
        <v>892935823.6499999</v>
      </c>
      <c r="C14" s="240">
        <f>SUM(D14:I14)+SUM(state2!B14:I14)+SUM(state3!B15:I15)+SUM(state4!B15:F15)</f>
        <v>873589575.1199999</v>
      </c>
      <c r="D14" s="153">
        <v>357601107</v>
      </c>
      <c r="E14" s="374">
        <v>27659253</v>
      </c>
      <c r="F14" s="376">
        <v>0</v>
      </c>
      <c r="G14" s="371">
        <v>10494886</v>
      </c>
      <c r="H14" s="153">
        <v>292875140</v>
      </c>
      <c r="I14" s="375">
        <v>73594427.75</v>
      </c>
    </row>
    <row r="15" spans="1:9" ht="12.75">
      <c r="A15" s="151" t="s">
        <v>4</v>
      </c>
      <c r="B15" s="231">
        <f>+C15+state5!B14+state5!F14+state5!J14</f>
        <v>609619426.04</v>
      </c>
      <c r="C15" s="240">
        <f>SUM(D15:I15)+SUM(state2!B15:I15)+SUM(state3!B16:I16)+SUM(state4!B16:F16)</f>
        <v>586253406.04</v>
      </c>
      <c r="D15" s="153">
        <v>313353166</v>
      </c>
      <c r="E15" s="376">
        <v>0</v>
      </c>
      <c r="F15" s="376">
        <v>0</v>
      </c>
      <c r="G15" s="376">
        <v>0</v>
      </c>
      <c r="H15" s="153">
        <v>96136755</v>
      </c>
      <c r="I15" s="375">
        <v>87524916.87</v>
      </c>
    </row>
    <row r="16" spans="1:9" ht="12.75">
      <c r="A16" s="151" t="s">
        <v>5</v>
      </c>
      <c r="B16" s="231">
        <f>+C16+state5!B15+state5!F15+state5!J15</f>
        <v>108767318.32</v>
      </c>
      <c r="C16" s="240">
        <f>SUM(D16:I16)+SUM(state2!B16:I16)+SUM(state3!B17:I17)+SUM(state4!B17:F17)</f>
        <v>97947755.00999999</v>
      </c>
      <c r="D16" s="153">
        <v>60773426</v>
      </c>
      <c r="E16" s="376">
        <v>0</v>
      </c>
      <c r="F16" s="376">
        <v>0</v>
      </c>
      <c r="G16" s="376">
        <v>0</v>
      </c>
      <c r="H16" s="153">
        <v>8603159</v>
      </c>
      <c r="I16" s="375">
        <v>16496741.82</v>
      </c>
    </row>
    <row r="17" spans="2:9" ht="12.75">
      <c r="B17" s="231"/>
      <c r="D17" s="358"/>
      <c r="E17" s="377"/>
      <c r="F17" s="371"/>
      <c r="G17" s="371"/>
      <c r="H17" s="358"/>
      <c r="I17" s="375"/>
    </row>
    <row r="18" spans="1:9" ht="12.75">
      <c r="A18" s="151" t="s">
        <v>6</v>
      </c>
      <c r="B18" s="231">
        <f>+C18+state5!B17+state5!F17+state5!J17</f>
        <v>48679276.38999999</v>
      </c>
      <c r="C18" s="240">
        <f>SUM(D18:I18)+SUM(state2!B18:I18)+SUM(state3!B19:I19)+SUM(state4!B19:F19)</f>
        <v>44733543.699999996</v>
      </c>
      <c r="D18" s="153">
        <v>22828705</v>
      </c>
      <c r="E18" s="374">
        <v>338567</v>
      </c>
      <c r="F18" s="376">
        <v>0</v>
      </c>
      <c r="G18" s="376">
        <v>554184</v>
      </c>
      <c r="H18" s="153">
        <v>10490169</v>
      </c>
      <c r="I18" s="375">
        <v>4594663.79</v>
      </c>
    </row>
    <row r="19" spans="1:9" ht="12.75">
      <c r="A19" s="151" t="s">
        <v>7</v>
      </c>
      <c r="B19" s="231">
        <f>+C19+state5!B18+state5!F18+state5!J18</f>
        <v>165803055.37</v>
      </c>
      <c r="C19" s="240">
        <f>SUM(D19:I19)+SUM(state2!B19:I19)+SUM(state3!B20:I20)+SUM(state4!B20:F20)</f>
        <v>157638863.76</v>
      </c>
      <c r="D19" s="153">
        <v>99911812</v>
      </c>
      <c r="E19" s="376">
        <v>0</v>
      </c>
      <c r="F19" s="376">
        <v>0</v>
      </c>
      <c r="G19" s="374">
        <v>0</v>
      </c>
      <c r="H19" s="153">
        <v>10936550</v>
      </c>
      <c r="I19" s="375">
        <v>24893832.71</v>
      </c>
    </row>
    <row r="20" spans="1:9" ht="12.75">
      <c r="A20" s="151" t="s">
        <v>8</v>
      </c>
      <c r="B20" s="231">
        <f>+C20+state5!B19+state5!F19+state5!J19</f>
        <v>110327687.14</v>
      </c>
      <c r="C20" s="240">
        <f>SUM(D20:I20)+SUM(state2!B20:I20)+SUM(state3!B21:I21)+SUM(state4!B21:F21)</f>
        <v>109818135.86</v>
      </c>
      <c r="D20" s="153">
        <v>62208406</v>
      </c>
      <c r="E20" s="374">
        <v>1744285</v>
      </c>
      <c r="F20" s="376">
        <v>0</v>
      </c>
      <c r="G20" s="376">
        <v>28121</v>
      </c>
      <c r="H20" s="153">
        <v>18025551</v>
      </c>
      <c r="I20" s="375">
        <v>14065617.03</v>
      </c>
    </row>
    <row r="21" spans="1:9" ht="12.75">
      <c r="A21" s="151" t="s">
        <v>9</v>
      </c>
      <c r="B21" s="231">
        <f>+C21+state5!B20+state5!F20+state5!J20</f>
        <v>172938041.77</v>
      </c>
      <c r="C21" s="240">
        <f>SUM(D21:I21)+SUM(state2!B21:I21)+SUM(state3!B22:I22)+SUM(state4!B22:F22)</f>
        <v>165245092.43</v>
      </c>
      <c r="D21" s="153">
        <v>100810653.28</v>
      </c>
      <c r="E21" s="374">
        <v>227891</v>
      </c>
      <c r="F21" s="376">
        <v>0</v>
      </c>
      <c r="G21" s="376">
        <v>0</v>
      </c>
      <c r="H21" s="153">
        <v>21393410</v>
      </c>
      <c r="I21" s="375">
        <v>23716615.16</v>
      </c>
    </row>
    <row r="22" spans="1:9" ht="12.75">
      <c r="A22" s="151" t="s">
        <v>10</v>
      </c>
      <c r="B22" s="231">
        <f>+C22+state5!B21+state5!F21+state5!J21</f>
        <v>39165989.71</v>
      </c>
      <c r="C22" s="240">
        <f>SUM(D22:I22)+SUM(state2!B22:I22)+SUM(state3!B23:I23)+SUM(state4!B23:F23)</f>
        <v>33378314.71</v>
      </c>
      <c r="D22" s="153">
        <v>16868928</v>
      </c>
      <c r="E22" s="374">
        <v>27840</v>
      </c>
      <c r="F22" s="376">
        <v>0</v>
      </c>
      <c r="G22" s="374">
        <v>0</v>
      </c>
      <c r="H22" s="153">
        <v>7578645</v>
      </c>
      <c r="I22" s="375">
        <v>4082731.09</v>
      </c>
    </row>
    <row r="23" spans="1:9" ht="12.75">
      <c r="A23" s="216"/>
      <c r="B23" s="231"/>
      <c r="D23" s="358"/>
      <c r="E23" s="377"/>
      <c r="F23" s="371"/>
      <c r="G23" s="371"/>
      <c r="H23" s="358"/>
      <c r="I23" s="375"/>
    </row>
    <row r="24" spans="1:9" ht="12.75">
      <c r="A24" s="151" t="s">
        <v>11</v>
      </c>
      <c r="B24" s="356">
        <f>+C24+state5!B23+state5!F23+state5!J23</f>
        <v>245680403</v>
      </c>
      <c r="C24" s="240">
        <f>SUM(D24:I24)+SUM(state2!B24:I24)+SUM(state3!B25:I25)+SUM(state4!B25:F25)</f>
        <v>231927425.03</v>
      </c>
      <c r="D24" s="153">
        <v>141544432</v>
      </c>
      <c r="E24" s="376">
        <v>0</v>
      </c>
      <c r="F24" s="153">
        <v>938800</v>
      </c>
      <c r="G24" s="376">
        <v>0</v>
      </c>
      <c r="H24" s="153">
        <v>22470475</v>
      </c>
      <c r="I24" s="375">
        <v>35885670.17</v>
      </c>
    </row>
    <row r="25" spans="1:9" ht="12.75">
      <c r="A25" s="151" t="s">
        <v>12</v>
      </c>
      <c r="B25" s="231">
        <f>+C25+state5!B24+state5!F24+state5!J24</f>
        <v>26612899.94</v>
      </c>
      <c r="C25" s="240">
        <f>SUM(D25:I25)+SUM(state2!B25:I25)+SUM(state3!B26:I26)+SUM(state4!B26:F26)</f>
        <v>26516858.94</v>
      </c>
      <c r="D25" s="153">
        <v>12639159</v>
      </c>
      <c r="E25" s="376">
        <v>0</v>
      </c>
      <c r="F25" s="376">
        <v>0</v>
      </c>
      <c r="G25" s="376">
        <v>0</v>
      </c>
      <c r="H25" s="153">
        <v>4735421</v>
      </c>
      <c r="I25" s="375">
        <v>3997187.49</v>
      </c>
    </row>
    <row r="26" spans="1:9" ht="15">
      <c r="A26" s="151" t="s">
        <v>13</v>
      </c>
      <c r="B26" s="231">
        <f>+C26+state5!B25+state5!F25+state5!J25</f>
        <v>248376896.58</v>
      </c>
      <c r="C26" s="240">
        <f>SUM(D26:I26)+SUM(state2!B26:I26)+SUM(state3!B27:I27)+SUM(state4!B27:F27)</f>
        <v>233332590.58</v>
      </c>
      <c r="D26" s="153">
        <v>140285285</v>
      </c>
      <c r="E26" s="376">
        <v>0</v>
      </c>
      <c r="F26" s="374">
        <v>0</v>
      </c>
      <c r="G26" s="376">
        <v>0</v>
      </c>
      <c r="H26" s="378">
        <v>28111071</v>
      </c>
      <c r="I26" s="375">
        <v>32542980.87</v>
      </c>
    </row>
    <row r="27" spans="1:9" ht="15">
      <c r="A27" s="151" t="s">
        <v>14</v>
      </c>
      <c r="B27" s="231">
        <f>+C27+state5!B26+state5!F26+state5!J26</f>
        <v>263584030.19</v>
      </c>
      <c r="C27" s="240">
        <f>SUM(D27:I27)+SUM(state2!B27:I27)+SUM(state3!B28:I28)+SUM(state4!B28:F28)</f>
        <v>256791392.19</v>
      </c>
      <c r="D27" s="153">
        <v>145370157</v>
      </c>
      <c r="E27" s="376">
        <v>0</v>
      </c>
      <c r="F27" s="376">
        <v>0</v>
      </c>
      <c r="G27" s="376">
        <v>0</v>
      </c>
      <c r="H27" s="378">
        <v>17387531</v>
      </c>
      <c r="I27" s="375">
        <v>58750518.88</v>
      </c>
    </row>
    <row r="28" spans="1:9" ht="12.75">
      <c r="A28" s="151" t="s">
        <v>15</v>
      </c>
      <c r="B28" s="231">
        <f>+C28+state5!B27+state5!F27+state5!J27</f>
        <v>11212594.03</v>
      </c>
      <c r="C28" s="240">
        <f>SUM(D28:I28)+SUM(state2!B28:I28)+SUM(state3!B29:I29)+SUM(state4!B29:F29)</f>
        <v>11095401.129999999</v>
      </c>
      <c r="D28" s="153">
        <v>3076937</v>
      </c>
      <c r="E28" s="376">
        <v>0</v>
      </c>
      <c r="F28" s="376">
        <v>0</v>
      </c>
      <c r="G28" s="376">
        <v>0</v>
      </c>
      <c r="H28" s="153">
        <v>2230293</v>
      </c>
      <c r="I28" s="375">
        <v>2149146.15</v>
      </c>
    </row>
    <row r="29" spans="2:9" ht="12.75">
      <c r="B29" s="231"/>
      <c r="D29" s="358"/>
      <c r="E29" s="377"/>
      <c r="F29" s="371"/>
      <c r="G29" s="371"/>
      <c r="H29" s="358"/>
      <c r="I29" s="375"/>
    </row>
    <row r="30" spans="1:9" ht="12.75">
      <c r="A30" s="151" t="s">
        <v>16</v>
      </c>
      <c r="B30" s="231">
        <f>+C30+state5!B29+state5!F29+state5!J29</f>
        <v>666592858.28</v>
      </c>
      <c r="C30" s="240">
        <f>SUM(D30:I30)+SUM(state2!B30:I30)+SUM(state3!B31:I31)+SUM(state4!B31:F31)</f>
        <v>636219964.28</v>
      </c>
      <c r="D30" s="153">
        <v>256548804</v>
      </c>
      <c r="E30" s="376">
        <v>0</v>
      </c>
      <c r="F30" s="376">
        <v>0</v>
      </c>
      <c r="G30" s="376">
        <v>0</v>
      </c>
      <c r="H30" s="153">
        <v>94275493</v>
      </c>
      <c r="I30" s="375">
        <v>163711433.16</v>
      </c>
    </row>
    <row r="31" spans="1:9" ht="12.75">
      <c r="A31" s="151" t="s">
        <v>17</v>
      </c>
      <c r="B31" s="231">
        <f>+C31+state5!B30+state5!F30+state5!J30</f>
        <v>927358447.23</v>
      </c>
      <c r="C31" s="240">
        <f>SUM(D31:I31)+SUM(state2!B31:I31)+SUM(state3!B32:I32)+SUM(state4!B32:F32)</f>
        <v>912662379.23</v>
      </c>
      <c r="D31" s="153">
        <v>454478965</v>
      </c>
      <c r="E31" s="374">
        <v>0</v>
      </c>
      <c r="F31" s="376">
        <v>0</v>
      </c>
      <c r="G31" s="374">
        <v>0</v>
      </c>
      <c r="H31" s="153">
        <v>183945214</v>
      </c>
      <c r="I31" s="375">
        <v>120873193</v>
      </c>
    </row>
    <row r="32" spans="1:9" ht="12.75">
      <c r="A32" s="151" t="s">
        <v>18</v>
      </c>
      <c r="B32" s="231">
        <f>+C32+state5!B31+state5!F31+state5!J31</f>
        <v>43418815.71</v>
      </c>
      <c r="C32" s="240">
        <f>SUM(D32:I32)+SUM(state2!B32:I32)+SUM(state3!B33:I33)+SUM(state4!B33:F33)</f>
        <v>35747413.11</v>
      </c>
      <c r="D32" s="153">
        <v>19465862</v>
      </c>
      <c r="E32" s="376">
        <v>0</v>
      </c>
      <c r="F32" s="376">
        <v>0</v>
      </c>
      <c r="G32" s="376">
        <v>0</v>
      </c>
      <c r="H32" s="153">
        <v>3709048</v>
      </c>
      <c r="I32" s="375">
        <v>6235417.5600000005</v>
      </c>
    </row>
    <row r="33" spans="1:9" ht="12.75">
      <c r="A33" s="151" t="s">
        <v>19</v>
      </c>
      <c r="B33" s="231">
        <f>+C33+state5!B32+state5!F32+state5!J32</f>
        <v>108685288.75</v>
      </c>
      <c r="C33" s="240">
        <f>SUM(D33:I33)+SUM(state2!B33:I33)+SUM(state3!B34:I34)+SUM(state4!B34:F34)</f>
        <v>102562855.94</v>
      </c>
      <c r="D33" s="153">
        <v>61191746</v>
      </c>
      <c r="E33" s="374">
        <v>0</v>
      </c>
      <c r="F33" s="376">
        <v>0</v>
      </c>
      <c r="G33" s="374">
        <v>0</v>
      </c>
      <c r="H33" s="153">
        <v>12659534</v>
      </c>
      <c r="I33" s="375">
        <v>14099122.41</v>
      </c>
    </row>
    <row r="34" spans="1:9" ht="12.75">
      <c r="A34" s="151" t="s">
        <v>20</v>
      </c>
      <c r="B34" s="231">
        <f>+C34+state5!B33+state5!F33+state5!J33</f>
        <v>31385176.07</v>
      </c>
      <c r="C34" s="240">
        <f>SUM(D34:I34)+SUM(state2!B34:I34)+SUM(state3!B35:I35)+SUM(state4!B35:F35)</f>
        <v>25215945.46</v>
      </c>
      <c r="D34" s="153">
        <v>11487714</v>
      </c>
      <c r="E34" s="374">
        <v>629138</v>
      </c>
      <c r="F34" s="376">
        <v>0</v>
      </c>
      <c r="G34" s="376">
        <v>0</v>
      </c>
      <c r="H34" s="153">
        <v>6641602</v>
      </c>
      <c r="I34" s="375">
        <v>2760063.6</v>
      </c>
    </row>
    <row r="35" spans="2:9" ht="12.75">
      <c r="B35" s="233"/>
      <c r="D35" s="358"/>
      <c r="E35" s="377"/>
      <c r="F35" s="379"/>
      <c r="G35" s="379"/>
      <c r="H35" s="358"/>
      <c r="I35" s="375"/>
    </row>
    <row r="36" spans="1:9" ht="15">
      <c r="A36" s="151" t="s">
        <v>21</v>
      </c>
      <c r="B36" s="231">
        <f>+C36+state5!B35+state5!F35+state5!J35</f>
        <v>14070706.35</v>
      </c>
      <c r="C36" s="240">
        <f>SUM(D36:I36)+SUM(state2!B36:I36)+SUM(state3!B37:I37)+SUM(state4!B37:F37)</f>
        <v>13948289.58</v>
      </c>
      <c r="D36" s="378">
        <v>3919887</v>
      </c>
      <c r="E36" s="376">
        <v>0</v>
      </c>
      <c r="F36" s="380">
        <v>0</v>
      </c>
      <c r="G36" s="380">
        <v>0</v>
      </c>
      <c r="H36" s="153">
        <v>3439078</v>
      </c>
      <c r="I36" s="375">
        <v>3541447.18</v>
      </c>
    </row>
    <row r="37" spans="1:9" ht="12.75">
      <c r="A37" s="151" t="s">
        <v>22</v>
      </c>
      <c r="B37" s="231">
        <f>+C37+state5!B36+state5!F36+state5!J36</f>
        <v>168218200.89999998</v>
      </c>
      <c r="C37" s="240">
        <f>SUM(D37:I37)+SUM(state2!B37:I37)+SUM(state3!B38:I38)+SUM(state4!B38:F38)</f>
        <v>154391058.08999997</v>
      </c>
      <c r="D37" s="153">
        <v>86154021</v>
      </c>
      <c r="E37" s="153">
        <v>3058019</v>
      </c>
      <c r="F37" s="380">
        <v>0</v>
      </c>
      <c r="G37" s="380">
        <v>0</v>
      </c>
      <c r="H37" s="153">
        <v>30448787</v>
      </c>
      <c r="I37" s="375">
        <v>17476811.82</v>
      </c>
    </row>
    <row r="38" spans="1:9" ht="12.75">
      <c r="A38" s="151" t="s">
        <v>23</v>
      </c>
      <c r="B38" s="231">
        <f>+C38+state5!B37+state5!F37+state5!J37</f>
        <v>131192812.39999999</v>
      </c>
      <c r="C38" s="240">
        <f>SUM(D38:I38)+SUM(state2!B38:I38)+SUM(state3!B39:I39)+SUM(state4!B39:F39)</f>
        <v>123452738.56</v>
      </c>
      <c r="D38" s="153">
        <v>61664758</v>
      </c>
      <c r="E38" s="374">
        <v>6954053</v>
      </c>
      <c r="F38" s="380">
        <v>0</v>
      </c>
      <c r="G38" s="380">
        <v>0</v>
      </c>
      <c r="H38" s="153">
        <v>27252990</v>
      </c>
      <c r="I38" s="375">
        <v>13048219.27</v>
      </c>
    </row>
    <row r="39" spans="1:9" ht="12.75">
      <c r="A39" s="152" t="s">
        <v>24</v>
      </c>
      <c r="B39" s="234">
        <f>+C39+state5!B38+state5!F38+state5!J38</f>
        <v>24609093.919999998</v>
      </c>
      <c r="C39" s="241">
        <f>SUM(D39:I39)+SUM(state2!B39:I39)+SUM(state3!B40:I40)+SUM(state4!B40:F40)</f>
        <v>24415173.45</v>
      </c>
      <c r="D39" s="155">
        <v>5633972</v>
      </c>
      <c r="E39" s="381">
        <v>0</v>
      </c>
      <c r="F39" s="382">
        <v>0</v>
      </c>
      <c r="G39" s="382">
        <v>0</v>
      </c>
      <c r="H39" s="155">
        <v>6031764</v>
      </c>
      <c r="I39" s="139">
        <v>7667957.63</v>
      </c>
    </row>
    <row r="40" spans="8:9" ht="12.75">
      <c r="H40" s="290"/>
      <c r="I40" s="237"/>
    </row>
    <row r="41" spans="2:9" ht="12.75">
      <c r="B41" s="291"/>
      <c r="C41" s="313"/>
      <c r="D41" s="311"/>
      <c r="E41" s="311"/>
      <c r="F41" s="314"/>
      <c r="G41" s="314"/>
      <c r="H41" s="314"/>
      <c r="I41" s="237"/>
    </row>
    <row r="42" spans="4:9" ht="12.75">
      <c r="D42" s="256"/>
      <c r="H42" s="290"/>
      <c r="I42" s="237"/>
    </row>
    <row r="43" spans="4:9" ht="12.75">
      <c r="D43" s="256"/>
      <c r="H43" s="290"/>
      <c r="I43" s="237"/>
    </row>
    <row r="44" spans="8:9" ht="12.75">
      <c r="H44" s="290"/>
      <c r="I44" s="237"/>
    </row>
    <row r="45" spans="8:9" ht="12.75">
      <c r="H45" s="290"/>
      <c r="I45" s="237"/>
    </row>
    <row r="46" spans="4:9" ht="12.75">
      <c r="D46" s="311"/>
      <c r="H46" s="290"/>
      <c r="I46" s="237"/>
    </row>
    <row r="47" spans="8:9" ht="12.75">
      <c r="H47" s="292"/>
      <c r="I47" s="237"/>
    </row>
    <row r="48" spans="8:9" ht="12.75">
      <c r="H48" s="290"/>
      <c r="I48" s="237"/>
    </row>
    <row r="49" spans="8:9" ht="12.75">
      <c r="H49" s="290"/>
      <c r="I49" s="237"/>
    </row>
    <row r="50" spans="8:9" ht="12.75">
      <c r="H50" s="290"/>
      <c r="I50" s="237"/>
    </row>
    <row r="51" spans="8:9" ht="12.75">
      <c r="H51" s="290"/>
      <c r="I51" s="237"/>
    </row>
    <row r="52" spans="8:9" ht="12.75">
      <c r="H52" s="290"/>
      <c r="I52" s="237"/>
    </row>
    <row r="53" spans="8:9" ht="12.75">
      <c r="H53" s="290"/>
      <c r="I53" s="237"/>
    </row>
    <row r="54" spans="8:9" ht="12.75">
      <c r="H54" s="292"/>
      <c r="I54" s="237"/>
    </row>
    <row r="55" ht="12.75">
      <c r="I55" s="237"/>
    </row>
    <row r="56" ht="12.75">
      <c r="I56" s="237"/>
    </row>
    <row r="57" ht="12.75">
      <c r="I57" s="237"/>
    </row>
    <row r="58" ht="12.75">
      <c r="I58" s="237"/>
    </row>
    <row r="59" ht="12.75">
      <c r="I59" s="237"/>
    </row>
    <row r="60" ht="12.75">
      <c r="I60" s="237"/>
    </row>
  </sheetData>
  <sheetProtection password="CAF5" sheet="1" objects="1" scenarios="1"/>
  <mergeCells count="9">
    <mergeCell ref="A1:I1"/>
    <mergeCell ref="A3:I3"/>
    <mergeCell ref="D5:I5"/>
    <mergeCell ref="I6:I9"/>
    <mergeCell ref="H6:H9"/>
    <mergeCell ref="D7:D9"/>
    <mergeCell ref="E7:E9"/>
    <mergeCell ref="F7:F9"/>
    <mergeCell ref="G8:G9"/>
  </mergeCells>
  <printOptions horizontalCentered="1"/>
  <pageMargins left="0.34" right="0.27" top="0.83" bottom="1" header="0.67" footer="0.5"/>
  <pageSetup fitToHeight="1" fitToWidth="1" horizontalDpi="600" verticalDpi="600" orientation="landscape" scale="90" r:id="rId1"/>
  <headerFooter alignWithMargins="0">
    <oddHeader>&amp;R
</oddHeader>
    <oddFooter>&amp;L&amp;"Arial,Italic"&amp;9MSDE - LFRO  11 / 2012&amp;C- 7 -&amp;R&amp;"Arial,Italic"&amp;9Selected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4.140625" style="0" customWidth="1"/>
    <col min="2" max="2" width="1.57421875" style="255" customWidth="1"/>
    <col min="3" max="3" width="16.7109375" style="255" customWidth="1"/>
    <col min="4" max="4" width="15.00390625" style="255" bestFit="1" customWidth="1"/>
    <col min="5" max="5" width="13.421875" style="255" customWidth="1"/>
    <col min="6" max="6" width="3.8515625" style="255" customWidth="1"/>
    <col min="7" max="7" width="16.421875" style="255" customWidth="1"/>
    <col min="8" max="8" width="15.421875" style="255" customWidth="1"/>
    <col min="9" max="9" width="13.57421875" style="250" customWidth="1"/>
    <col min="10" max="10" width="11.28125" style="0" bestFit="1" customWidth="1"/>
  </cols>
  <sheetData>
    <row r="1" spans="1:9" ht="12.75">
      <c r="A1" s="432" t="s">
        <v>117</v>
      </c>
      <c r="B1" s="432"/>
      <c r="C1" s="432"/>
      <c r="D1" s="432"/>
      <c r="E1" s="432"/>
      <c r="F1" s="432"/>
      <c r="G1" s="432"/>
      <c r="H1" s="432"/>
      <c r="I1" s="272"/>
    </row>
    <row r="3" spans="1:9" s="72" customFormat="1" ht="12.75">
      <c r="A3" s="464" t="s">
        <v>249</v>
      </c>
      <c r="B3" s="431"/>
      <c r="C3" s="431"/>
      <c r="D3" s="431"/>
      <c r="E3" s="431"/>
      <c r="F3" s="431"/>
      <c r="G3" s="431"/>
      <c r="H3" s="431"/>
      <c r="I3" s="272"/>
    </row>
    <row r="4" spans="2:9" ht="13.5" thickBot="1">
      <c r="B4" s="261"/>
      <c r="C4" s="261"/>
      <c r="D4" s="261"/>
      <c r="E4" s="261"/>
      <c r="F4" s="261"/>
      <c r="G4" s="261"/>
      <c r="H4" s="261"/>
      <c r="I4" s="261"/>
    </row>
    <row r="5" spans="1:9" ht="15" customHeight="1" thickTop="1">
      <c r="A5" s="6"/>
      <c r="B5" s="457"/>
      <c r="C5" s="457"/>
      <c r="D5" s="457"/>
      <c r="E5" s="457"/>
      <c r="F5" s="457"/>
      <c r="G5" s="457"/>
      <c r="H5" s="457"/>
      <c r="I5" s="457"/>
    </row>
    <row r="6" spans="1:13" ht="12.75" customHeight="1" thickBot="1">
      <c r="A6" s="3"/>
      <c r="B6" s="251"/>
      <c r="C6" s="462" t="s">
        <v>235</v>
      </c>
      <c r="D6" s="462"/>
      <c r="E6" s="462"/>
      <c r="F6" s="407"/>
      <c r="G6" s="465" t="s">
        <v>149</v>
      </c>
      <c r="H6" s="465"/>
      <c r="I6" s="465"/>
      <c r="J6" s="3"/>
      <c r="K6" s="3"/>
      <c r="L6" s="3"/>
      <c r="M6" s="3"/>
    </row>
    <row r="7" spans="1:13" ht="12.75" customHeight="1">
      <c r="A7" s="3" t="s">
        <v>77</v>
      </c>
      <c r="B7" s="293"/>
      <c r="C7" s="256"/>
      <c r="D7" s="251"/>
      <c r="E7" s="463" t="s">
        <v>174</v>
      </c>
      <c r="F7" s="256"/>
      <c r="G7" s="450" t="s">
        <v>154</v>
      </c>
      <c r="H7" s="460" t="s">
        <v>155</v>
      </c>
      <c r="I7" s="294" t="s">
        <v>161</v>
      </c>
      <c r="J7" s="3"/>
      <c r="K7" s="3"/>
      <c r="L7" s="3"/>
      <c r="M7" s="3"/>
    </row>
    <row r="8" spans="1:9" ht="12.75">
      <c r="A8" s="3" t="s">
        <v>33</v>
      </c>
      <c r="B8" s="293"/>
      <c r="C8" s="256"/>
      <c r="D8" s="251" t="s">
        <v>28</v>
      </c>
      <c r="E8" s="458"/>
      <c r="G8" s="458"/>
      <c r="H8" s="461"/>
      <c r="I8" s="275" t="s">
        <v>162</v>
      </c>
    </row>
    <row r="9" spans="1:9" ht="13.5" thickBot="1">
      <c r="A9" s="7" t="s">
        <v>132</v>
      </c>
      <c r="B9" s="284"/>
      <c r="C9" s="252" t="s">
        <v>25</v>
      </c>
      <c r="D9" s="252" t="s">
        <v>29</v>
      </c>
      <c r="E9" s="459"/>
      <c r="G9" s="459"/>
      <c r="H9" s="453"/>
      <c r="I9" s="276"/>
    </row>
    <row r="10" spans="1:9" s="44" customFormat="1" ht="12.75">
      <c r="A10" s="47" t="s">
        <v>0</v>
      </c>
      <c r="B10" s="296">
        <f>SUM(B12:B39)</f>
        <v>0</v>
      </c>
      <c r="C10" s="296">
        <f>SUM(C12:C39)</f>
        <v>262170379.43</v>
      </c>
      <c r="D10" s="296">
        <f>SUM(D12:D39)</f>
        <v>92297074.92</v>
      </c>
      <c r="E10" s="296">
        <f>SUM(E12:E39)</f>
        <v>18253799.01</v>
      </c>
      <c r="F10" s="297"/>
      <c r="G10" s="296">
        <f>SUM(G12:G39)</f>
        <v>202711652.69</v>
      </c>
      <c r="H10" s="296">
        <f>SUM(H12:H39)</f>
        <v>23722000</v>
      </c>
      <c r="I10" s="296">
        <f>SUM(I12:I39)</f>
        <v>35000</v>
      </c>
    </row>
    <row r="11" spans="1:9" ht="12.75">
      <c r="A11" s="3"/>
      <c r="B11" s="238"/>
      <c r="C11" s="232"/>
      <c r="D11" s="232"/>
      <c r="E11" s="232"/>
      <c r="G11" s="237"/>
      <c r="H11" s="237"/>
      <c r="I11" s="237"/>
    </row>
    <row r="12" spans="1:9" ht="12.75">
      <c r="A12" t="s">
        <v>1</v>
      </c>
      <c r="B12" s="237"/>
      <c r="C12" s="153">
        <v>5562801</v>
      </c>
      <c r="D12" s="154">
        <v>1538388.85</v>
      </c>
      <c r="E12" s="154">
        <v>0</v>
      </c>
      <c r="F12" s="153"/>
      <c r="G12" s="153">
        <v>3805693</v>
      </c>
      <c r="H12" s="153">
        <v>222000</v>
      </c>
      <c r="I12" s="153">
        <v>0</v>
      </c>
    </row>
    <row r="13" spans="1:10" ht="12.75">
      <c r="A13" t="s">
        <v>2</v>
      </c>
      <c r="B13" s="237"/>
      <c r="C13" s="153">
        <v>15618971</v>
      </c>
      <c r="D13" s="154">
        <v>6898655.92</v>
      </c>
      <c r="E13" s="154">
        <v>1079480.37</v>
      </c>
      <c r="F13" s="153"/>
      <c r="G13" s="153">
        <v>17393808</v>
      </c>
      <c r="H13" s="153">
        <v>1602000</v>
      </c>
      <c r="I13" s="153">
        <v>0</v>
      </c>
      <c r="J13" s="1"/>
    </row>
    <row r="14" spans="1:9" ht="12.75">
      <c r="A14" t="s">
        <v>3</v>
      </c>
      <c r="B14" s="237"/>
      <c r="C14" s="153">
        <v>54293576.17</v>
      </c>
      <c r="D14" s="154">
        <v>26809278.9</v>
      </c>
      <c r="E14" s="154">
        <v>0</v>
      </c>
      <c r="F14" s="153"/>
      <c r="G14" s="153">
        <v>13721790</v>
      </c>
      <c r="H14" s="153">
        <v>3030000</v>
      </c>
      <c r="I14" s="153">
        <v>0</v>
      </c>
    </row>
    <row r="15" spans="1:9" ht="12.75">
      <c r="A15" t="s">
        <v>4</v>
      </c>
      <c r="B15" s="237"/>
      <c r="C15" s="153">
        <v>28724250</v>
      </c>
      <c r="D15" s="154">
        <v>14103506</v>
      </c>
      <c r="E15" s="154">
        <v>1516642.29</v>
      </c>
      <c r="F15" s="153"/>
      <c r="G15" s="153">
        <v>21513365</v>
      </c>
      <c r="H15" s="153">
        <v>3027000</v>
      </c>
      <c r="I15" s="153">
        <v>0</v>
      </c>
    </row>
    <row r="16" spans="1:9" ht="15">
      <c r="A16" t="s">
        <v>5</v>
      </c>
      <c r="B16" s="237"/>
      <c r="C16" s="153">
        <v>4525889.01</v>
      </c>
      <c r="D16" s="154">
        <v>792147.34</v>
      </c>
      <c r="E16" s="154">
        <v>108308.22</v>
      </c>
      <c r="F16" s="153"/>
      <c r="G16" s="153">
        <v>4689398</v>
      </c>
      <c r="H16" s="378">
        <v>321000</v>
      </c>
      <c r="I16" s="153">
        <v>0</v>
      </c>
    </row>
    <row r="17" spans="2:9" ht="12.75">
      <c r="B17" s="237"/>
      <c r="C17" s="153"/>
      <c r="D17" s="154"/>
      <c r="E17" s="154"/>
      <c r="F17" s="153"/>
      <c r="G17" s="153"/>
      <c r="H17" s="153"/>
      <c r="I17" s="153"/>
    </row>
    <row r="18" spans="1:9" ht="12.75">
      <c r="A18" t="s">
        <v>6</v>
      </c>
      <c r="B18" s="237"/>
      <c r="C18" s="153">
        <v>1939998</v>
      </c>
      <c r="D18" s="154">
        <v>321707.05000000005</v>
      </c>
      <c r="E18" s="154">
        <v>51471.71</v>
      </c>
      <c r="F18" s="153"/>
      <c r="G18" s="153">
        <v>2181008</v>
      </c>
      <c r="H18" s="153">
        <v>67000</v>
      </c>
      <c r="I18" s="153">
        <v>0</v>
      </c>
    </row>
    <row r="19" spans="1:9" ht="12.75">
      <c r="A19" t="s">
        <v>7</v>
      </c>
      <c r="B19" s="237"/>
      <c r="C19" s="153">
        <v>8292625.79</v>
      </c>
      <c r="D19" s="154">
        <v>3134277.02</v>
      </c>
      <c r="E19" s="154">
        <v>268790</v>
      </c>
      <c r="F19" s="153"/>
      <c r="G19" s="153">
        <v>8021927</v>
      </c>
      <c r="H19" s="153">
        <v>607000</v>
      </c>
      <c r="I19" s="358">
        <v>0</v>
      </c>
    </row>
    <row r="20" spans="1:9" ht="12.75">
      <c r="A20" t="s">
        <v>8</v>
      </c>
      <c r="B20" s="237"/>
      <c r="C20" s="153">
        <v>6090799.42</v>
      </c>
      <c r="D20" s="154">
        <v>1696558.46</v>
      </c>
      <c r="E20" s="154">
        <v>198362.21</v>
      </c>
      <c r="F20" s="153"/>
      <c r="G20" s="153">
        <v>4214422</v>
      </c>
      <c r="H20" s="153">
        <v>226000</v>
      </c>
      <c r="I20" s="153">
        <v>0</v>
      </c>
    </row>
    <row r="21" spans="1:9" ht="12.75">
      <c r="A21" t="s">
        <v>9</v>
      </c>
      <c r="B21" s="237"/>
      <c r="C21" s="153">
        <v>6481087</v>
      </c>
      <c r="D21" s="154">
        <v>1022504.97</v>
      </c>
      <c r="E21" s="154">
        <v>0</v>
      </c>
      <c r="F21" s="153"/>
      <c r="G21" s="153">
        <v>8557406</v>
      </c>
      <c r="H21" s="153">
        <v>480000</v>
      </c>
      <c r="I21" s="153">
        <v>0</v>
      </c>
    </row>
    <row r="22" spans="1:9" ht="12.75">
      <c r="A22" t="s">
        <v>10</v>
      </c>
      <c r="B22" s="237"/>
      <c r="C22" s="153">
        <v>1246976</v>
      </c>
      <c r="D22" s="154">
        <f>$E$14</f>
        <v>0</v>
      </c>
      <c r="E22" s="153">
        <v>28952.46</v>
      </c>
      <c r="F22" s="153"/>
      <c r="G22" s="153">
        <v>2009712</v>
      </c>
      <c r="H22" s="153">
        <v>74000</v>
      </c>
      <c r="I22" s="153">
        <v>0</v>
      </c>
    </row>
    <row r="23" spans="2:9" ht="12.75">
      <c r="B23" s="237"/>
      <c r="C23" s="153"/>
      <c r="D23" s="154"/>
      <c r="E23" s="154"/>
      <c r="F23" s="153"/>
      <c r="G23" s="153"/>
      <c r="H23" s="153"/>
      <c r="I23" s="153"/>
    </row>
    <row r="24" spans="1:9" ht="12.75">
      <c r="A24" t="s">
        <v>11</v>
      </c>
      <c r="B24" s="237"/>
      <c r="C24" s="153">
        <v>11390508</v>
      </c>
      <c r="D24" s="154">
        <v>2602287.89</v>
      </c>
      <c r="E24" s="154">
        <v>0</v>
      </c>
      <c r="F24" s="153"/>
      <c r="G24" s="153">
        <v>9633467</v>
      </c>
      <c r="H24" s="153">
        <v>872000</v>
      </c>
      <c r="I24" s="153">
        <v>0</v>
      </c>
    </row>
    <row r="25" spans="1:9" ht="12.75">
      <c r="A25" t="s">
        <v>12</v>
      </c>
      <c r="B25" s="237"/>
      <c r="C25" s="153">
        <v>1111858</v>
      </c>
      <c r="D25" s="154">
        <v>193087.69</v>
      </c>
      <c r="E25" s="154">
        <v>0</v>
      </c>
      <c r="F25" s="153"/>
      <c r="G25" s="153">
        <v>2535320</v>
      </c>
      <c r="H25" s="153">
        <v>46000</v>
      </c>
      <c r="I25" s="358">
        <v>0</v>
      </c>
    </row>
    <row r="26" spans="1:9" ht="15">
      <c r="A26" t="s">
        <v>13</v>
      </c>
      <c r="B26" s="237"/>
      <c r="C26" s="153">
        <v>11941879.44</v>
      </c>
      <c r="D26" s="154">
        <v>4881948.95</v>
      </c>
      <c r="E26" s="154">
        <v>493993</v>
      </c>
      <c r="F26" s="153"/>
      <c r="G26" s="378">
        <v>10053481</v>
      </c>
      <c r="H26" s="153">
        <v>752000</v>
      </c>
      <c r="I26" s="153">
        <v>0</v>
      </c>
    </row>
    <row r="27" spans="1:9" ht="12.75">
      <c r="A27" t="s">
        <v>14</v>
      </c>
      <c r="B27" s="237"/>
      <c r="C27" s="153">
        <v>8844377</v>
      </c>
      <c r="D27" s="154">
        <v>4194495.99</v>
      </c>
      <c r="E27" s="154">
        <v>382875.55</v>
      </c>
      <c r="F27" s="153"/>
      <c r="G27" s="153">
        <v>12541219</v>
      </c>
      <c r="H27" s="153">
        <v>1343000</v>
      </c>
      <c r="I27" s="153">
        <v>0</v>
      </c>
    </row>
    <row r="28" spans="1:9" ht="12.75">
      <c r="A28" t="s">
        <v>15</v>
      </c>
      <c r="B28" s="237"/>
      <c r="C28" s="153">
        <v>749915.7</v>
      </c>
      <c r="D28" s="154">
        <v>137396.7</v>
      </c>
      <c r="E28" s="154">
        <v>12529</v>
      </c>
      <c r="F28" s="153"/>
      <c r="G28" s="153">
        <v>1322403</v>
      </c>
      <c r="H28" s="153">
        <v>45000</v>
      </c>
      <c r="I28" s="153">
        <v>0</v>
      </c>
    </row>
    <row r="29" spans="1:9" ht="12.75">
      <c r="A29" s="1"/>
      <c r="B29" s="237"/>
      <c r="C29" s="153"/>
      <c r="D29" s="154"/>
      <c r="E29" s="154"/>
      <c r="F29" s="153"/>
      <c r="G29" s="153"/>
      <c r="H29" s="153"/>
      <c r="I29" s="153"/>
    </row>
    <row r="30" spans="1:9" ht="15">
      <c r="A30" t="s">
        <v>16</v>
      </c>
      <c r="B30" s="237"/>
      <c r="C30" s="153">
        <v>33485077</v>
      </c>
      <c r="D30" s="154">
        <v>10474795.4</v>
      </c>
      <c r="E30" s="154">
        <v>441756.46</v>
      </c>
      <c r="F30" s="153"/>
      <c r="G30" s="378">
        <v>26895007</v>
      </c>
      <c r="H30" s="153">
        <v>4724000</v>
      </c>
      <c r="I30" s="153">
        <v>0</v>
      </c>
    </row>
    <row r="31" spans="1:9" ht="12.75">
      <c r="A31" t="s">
        <v>17</v>
      </c>
      <c r="B31" s="237"/>
      <c r="C31" s="153">
        <v>37928739</v>
      </c>
      <c r="D31" s="154">
        <v>12120697.89</v>
      </c>
      <c r="E31" s="154">
        <v>11200653.89</v>
      </c>
      <c r="F31" s="153"/>
      <c r="G31" s="153">
        <v>29163925.69</v>
      </c>
      <c r="H31" s="153">
        <v>5019000</v>
      </c>
      <c r="I31" s="153">
        <v>0</v>
      </c>
    </row>
    <row r="32" spans="1:9" ht="12.75">
      <c r="A32" t="s">
        <v>18</v>
      </c>
      <c r="B32" s="237"/>
      <c r="C32" s="153">
        <v>1838925</v>
      </c>
      <c r="D32" s="154">
        <v>262170</v>
      </c>
      <c r="E32" s="154">
        <v>63726.39</v>
      </c>
      <c r="F32" s="153"/>
      <c r="G32" s="153">
        <v>2798969</v>
      </c>
      <c r="H32" s="153">
        <v>87000</v>
      </c>
      <c r="I32" s="153">
        <v>0</v>
      </c>
    </row>
    <row r="33" spans="1:9" ht="12.75">
      <c r="A33" t="s">
        <v>19</v>
      </c>
      <c r="B33" s="237"/>
      <c r="C33" s="153">
        <v>5206356.9</v>
      </c>
      <c r="D33" s="154">
        <v>349208.11</v>
      </c>
      <c r="E33" s="154">
        <v>1969088</v>
      </c>
      <c r="F33" s="153"/>
      <c r="G33" s="153">
        <v>5413123</v>
      </c>
      <c r="H33" s="153">
        <v>380000</v>
      </c>
      <c r="I33" s="153">
        <v>0</v>
      </c>
    </row>
    <row r="34" spans="1:9" ht="12.75">
      <c r="A34" t="s">
        <v>20</v>
      </c>
      <c r="B34" s="237"/>
      <c r="C34" s="153">
        <v>1349595</v>
      </c>
      <c r="D34" s="383">
        <v>0</v>
      </c>
      <c r="E34" s="154">
        <v>19614</v>
      </c>
      <c r="F34" s="153"/>
      <c r="G34" s="153">
        <v>1542280</v>
      </c>
      <c r="H34" s="153">
        <v>63000</v>
      </c>
      <c r="I34" s="153">
        <v>35000</v>
      </c>
    </row>
    <row r="35" spans="2:9" ht="12.75">
      <c r="B35" s="237"/>
      <c r="C35" s="358"/>
      <c r="D35" s="383"/>
      <c r="E35" s="154"/>
      <c r="F35" s="153"/>
      <c r="G35" s="153"/>
      <c r="H35" s="153"/>
      <c r="I35" s="153"/>
    </row>
    <row r="36" spans="1:9" ht="12.75">
      <c r="A36" t="s">
        <v>21</v>
      </c>
      <c r="B36" s="237"/>
      <c r="C36" s="153">
        <v>733192</v>
      </c>
      <c r="D36" s="383">
        <v>0</v>
      </c>
      <c r="E36" s="154">
        <v>55211</v>
      </c>
      <c r="F36" s="153"/>
      <c r="G36" s="153">
        <v>1346454</v>
      </c>
      <c r="H36" s="153">
        <v>12000</v>
      </c>
      <c r="I36" s="153">
        <v>0</v>
      </c>
    </row>
    <row r="37" spans="1:9" ht="12.75">
      <c r="A37" t="s">
        <v>22</v>
      </c>
      <c r="B37" s="237"/>
      <c r="C37" s="153">
        <v>7278080</v>
      </c>
      <c r="D37" s="154">
        <v>743943.74</v>
      </c>
      <c r="E37" s="154">
        <v>192883.67</v>
      </c>
      <c r="F37" s="153"/>
      <c r="G37" s="153">
        <v>5652128</v>
      </c>
      <c r="H37" s="153">
        <v>368000</v>
      </c>
      <c r="I37" s="358">
        <v>0</v>
      </c>
    </row>
    <row r="38" spans="1:9" ht="12.75">
      <c r="A38" t="s">
        <v>23</v>
      </c>
      <c r="B38" s="237"/>
      <c r="C38" s="153">
        <v>6129949</v>
      </c>
      <c r="D38" s="154">
        <v>20018.05</v>
      </c>
      <c r="E38" s="154">
        <v>169460.79</v>
      </c>
      <c r="F38" s="153"/>
      <c r="G38" s="153">
        <v>5182971</v>
      </c>
      <c r="H38" s="153">
        <v>279000</v>
      </c>
      <c r="I38" s="153">
        <v>0</v>
      </c>
    </row>
    <row r="39" spans="1:9" ht="12.75">
      <c r="A39" s="12" t="s">
        <v>24</v>
      </c>
      <c r="B39" s="224"/>
      <c r="C39" s="155">
        <v>1404954</v>
      </c>
      <c r="D39" s="155">
        <v>0</v>
      </c>
      <c r="E39" s="155">
        <v>0</v>
      </c>
      <c r="F39" s="155"/>
      <c r="G39" s="155">
        <v>2522376</v>
      </c>
      <c r="H39" s="155">
        <v>76000</v>
      </c>
      <c r="I39" s="155">
        <v>0</v>
      </c>
    </row>
    <row r="40" spans="2:8" ht="12.75">
      <c r="B40" s="237"/>
      <c r="H40" s="237"/>
    </row>
    <row r="41" spans="2:8" ht="12.75">
      <c r="B41" s="237"/>
      <c r="F41" s="298"/>
      <c r="H41" s="237"/>
    </row>
    <row r="42" spans="2:8" ht="12.75">
      <c r="B42" s="237"/>
      <c r="D42" s="230"/>
      <c r="H42" s="237"/>
    </row>
    <row r="43" spans="2:8" ht="12.75">
      <c r="B43" s="237"/>
      <c r="H43" s="237"/>
    </row>
    <row r="44" spans="2:8" ht="12.75">
      <c r="B44" s="237"/>
      <c r="H44" s="237"/>
    </row>
    <row r="45" ht="12.75">
      <c r="H45" s="237"/>
    </row>
    <row r="46" ht="12.75">
      <c r="H46" s="237"/>
    </row>
    <row r="47" ht="12.75">
      <c r="H47" s="237"/>
    </row>
    <row r="48" ht="12.75">
      <c r="H48" s="237"/>
    </row>
    <row r="49" ht="12.75">
      <c r="H49" s="237"/>
    </row>
    <row r="50" ht="12.75">
      <c r="H50" s="237"/>
    </row>
    <row r="51" ht="12.75">
      <c r="H51" s="237"/>
    </row>
    <row r="52" ht="12.75">
      <c r="H52" s="237"/>
    </row>
    <row r="53" ht="12.75">
      <c r="H53" s="237"/>
    </row>
    <row r="54" ht="12.75">
      <c r="H54" s="237"/>
    </row>
    <row r="55" ht="12.75">
      <c r="H55" s="237"/>
    </row>
    <row r="56" ht="12.75">
      <c r="H56" s="237"/>
    </row>
    <row r="57" ht="12.75">
      <c r="H57" s="237"/>
    </row>
    <row r="58" ht="12.75">
      <c r="H58" s="237"/>
    </row>
    <row r="59" ht="12.75">
      <c r="H59" s="237"/>
    </row>
    <row r="60" ht="12.75">
      <c r="H60" s="237"/>
    </row>
    <row r="61" ht="12.75">
      <c r="H61" s="237"/>
    </row>
    <row r="62" ht="12.75">
      <c r="H62" s="237"/>
    </row>
    <row r="63" ht="12.75">
      <c r="H63" s="237"/>
    </row>
    <row r="64" ht="12.75">
      <c r="H64" s="237"/>
    </row>
    <row r="65" ht="12.75">
      <c r="H65" s="237"/>
    </row>
    <row r="66" ht="12.75">
      <c r="H66" s="237"/>
    </row>
    <row r="67" ht="12.75">
      <c r="H67" s="237"/>
    </row>
    <row r="68" ht="12.75">
      <c r="H68" s="237"/>
    </row>
    <row r="69" ht="12.75">
      <c r="H69" s="237"/>
    </row>
    <row r="70" ht="12.75">
      <c r="H70" s="237"/>
    </row>
    <row r="71" ht="12.75">
      <c r="H71" s="237"/>
    </row>
    <row r="72" ht="12.75">
      <c r="H72" s="237"/>
    </row>
    <row r="73" ht="12.75">
      <c r="H73" s="237"/>
    </row>
    <row r="74" ht="12.75">
      <c r="H74" s="237"/>
    </row>
    <row r="75" ht="12.75">
      <c r="H75" s="237"/>
    </row>
    <row r="76" ht="12.75">
      <c r="H76" s="237"/>
    </row>
    <row r="77" ht="12.75">
      <c r="H77" s="237"/>
    </row>
    <row r="78" ht="12.75">
      <c r="H78" s="237"/>
    </row>
    <row r="79" ht="12.75">
      <c r="H79" s="237"/>
    </row>
    <row r="80" ht="12.75">
      <c r="H80" s="237"/>
    </row>
    <row r="81" ht="12.75">
      <c r="H81" s="237"/>
    </row>
    <row r="82" ht="12.75">
      <c r="H82" s="237"/>
    </row>
    <row r="83" ht="12.75">
      <c r="H83" s="237"/>
    </row>
    <row r="84" ht="12.75">
      <c r="H84" s="237"/>
    </row>
    <row r="85" ht="12.75">
      <c r="H85" s="237"/>
    </row>
    <row r="86" ht="12.75">
      <c r="H86" s="237"/>
    </row>
    <row r="87" ht="12.75">
      <c r="H87" s="237"/>
    </row>
    <row r="88" ht="12.75">
      <c r="H88" s="237"/>
    </row>
    <row r="89" ht="12.75">
      <c r="H89" s="237"/>
    </row>
    <row r="90" ht="12.75">
      <c r="H90" s="237"/>
    </row>
    <row r="91" ht="12.75">
      <c r="H91" s="237"/>
    </row>
    <row r="92" ht="12.75">
      <c r="H92" s="237"/>
    </row>
    <row r="93" ht="12.75">
      <c r="H93" s="237"/>
    </row>
    <row r="94" ht="12.75">
      <c r="H94" s="237"/>
    </row>
    <row r="95" ht="12.75">
      <c r="H95" s="237"/>
    </row>
    <row r="96" ht="12.75">
      <c r="H96" s="237"/>
    </row>
    <row r="97" ht="12.75">
      <c r="H97" s="237"/>
    </row>
    <row r="98" ht="12.75">
      <c r="H98" s="237"/>
    </row>
    <row r="99" ht="12.75">
      <c r="H99" s="237"/>
    </row>
    <row r="100" ht="12.75">
      <c r="H100" s="237"/>
    </row>
    <row r="101" ht="12.75">
      <c r="H101" s="237"/>
    </row>
    <row r="102" ht="12.75">
      <c r="H102" s="237"/>
    </row>
    <row r="103" ht="12.75">
      <c r="H103" s="237"/>
    </row>
    <row r="104" ht="12.75">
      <c r="H104" s="237"/>
    </row>
    <row r="105" ht="12.75">
      <c r="H105" s="237"/>
    </row>
    <row r="106" ht="12.75">
      <c r="H106" s="237"/>
    </row>
    <row r="107" ht="12.75">
      <c r="H107" s="237"/>
    </row>
    <row r="108" ht="12.75">
      <c r="H108" s="237"/>
    </row>
    <row r="109" ht="12.75">
      <c r="H109" s="237"/>
    </row>
    <row r="110" ht="12.75">
      <c r="H110" s="237"/>
    </row>
    <row r="111" ht="12.75">
      <c r="H111" s="237"/>
    </row>
    <row r="112" ht="12.75">
      <c r="H112" s="237"/>
    </row>
    <row r="113" ht="12.75">
      <c r="H113" s="237"/>
    </row>
    <row r="114" ht="12.75">
      <c r="H114" s="237"/>
    </row>
    <row r="115" ht="12.75">
      <c r="H115" s="237"/>
    </row>
    <row r="116" ht="12.75">
      <c r="H116" s="237"/>
    </row>
    <row r="117" ht="12.75">
      <c r="H117" s="237"/>
    </row>
    <row r="118" ht="12.75">
      <c r="H118" s="237"/>
    </row>
    <row r="119" ht="12.75">
      <c r="H119" s="237"/>
    </row>
    <row r="120" ht="12.75">
      <c r="H120" s="237"/>
    </row>
    <row r="121" ht="12.75">
      <c r="H121" s="237"/>
    </row>
    <row r="122" ht="12.75">
      <c r="H122" s="237"/>
    </row>
    <row r="123" ht="12.75">
      <c r="H123" s="237"/>
    </row>
    <row r="124" ht="12.75">
      <c r="H124" s="237"/>
    </row>
    <row r="125" ht="12.75">
      <c r="H125" s="237"/>
    </row>
    <row r="126" ht="12.75">
      <c r="H126" s="237"/>
    </row>
    <row r="127" ht="12.75">
      <c r="H127" s="237"/>
    </row>
    <row r="128" ht="12.75">
      <c r="H128" s="237"/>
    </row>
    <row r="129" ht="12.75">
      <c r="H129" s="237"/>
    </row>
    <row r="130" ht="12.75">
      <c r="H130" s="237"/>
    </row>
    <row r="131" ht="12.75">
      <c r="H131" s="237"/>
    </row>
    <row r="132" ht="12.75">
      <c r="H132" s="237"/>
    </row>
    <row r="133" ht="12.75">
      <c r="H133" s="237"/>
    </row>
    <row r="134" ht="12.75">
      <c r="H134" s="237"/>
    </row>
    <row r="135" ht="12.75">
      <c r="H135" s="237"/>
    </row>
    <row r="136" ht="12.75">
      <c r="H136" s="237"/>
    </row>
    <row r="137" ht="12.75">
      <c r="H137" s="237"/>
    </row>
    <row r="138" ht="12.75">
      <c r="H138" s="237"/>
    </row>
    <row r="139" ht="12.75">
      <c r="H139" s="237"/>
    </row>
    <row r="140" ht="12.75">
      <c r="H140" s="237"/>
    </row>
    <row r="141" ht="12.75">
      <c r="H141" s="237"/>
    </row>
    <row r="142" ht="12.75">
      <c r="H142" s="237"/>
    </row>
    <row r="143" ht="12.75">
      <c r="H143" s="237"/>
    </row>
    <row r="144" ht="12.75">
      <c r="H144" s="237"/>
    </row>
    <row r="145" ht="12.75">
      <c r="H145" s="237"/>
    </row>
    <row r="146" ht="12.75">
      <c r="H146" s="237"/>
    </row>
    <row r="147" ht="12.75">
      <c r="H147" s="237"/>
    </row>
    <row r="148" ht="12.75">
      <c r="H148" s="237"/>
    </row>
    <row r="149" ht="12.75">
      <c r="H149" s="237"/>
    </row>
    <row r="150" ht="12.75">
      <c r="H150" s="237"/>
    </row>
    <row r="151" ht="12.75">
      <c r="H151" s="237"/>
    </row>
    <row r="152" ht="12.75">
      <c r="H152" s="237"/>
    </row>
    <row r="153" ht="12.75">
      <c r="H153" s="237"/>
    </row>
    <row r="154" ht="12.75">
      <c r="H154" s="237"/>
    </row>
    <row r="155" ht="12.75">
      <c r="H155" s="237"/>
    </row>
    <row r="156" ht="12.75">
      <c r="H156" s="237"/>
    </row>
    <row r="157" ht="12.75">
      <c r="H157" s="237"/>
    </row>
    <row r="158" ht="12.75">
      <c r="H158" s="237"/>
    </row>
    <row r="159" ht="12.75">
      <c r="H159" s="237"/>
    </row>
    <row r="160" ht="12.75">
      <c r="H160" s="237"/>
    </row>
    <row r="161" ht="12.75">
      <c r="H161" s="237"/>
    </row>
    <row r="162" ht="12.75">
      <c r="H162" s="237"/>
    </row>
    <row r="163" ht="12.75">
      <c r="H163" s="237"/>
    </row>
    <row r="164" ht="12.75">
      <c r="H164" s="237"/>
    </row>
    <row r="165" ht="12.75">
      <c r="H165" s="237"/>
    </row>
    <row r="166" ht="12.75">
      <c r="H166" s="237"/>
    </row>
    <row r="167" ht="12.75">
      <c r="H167" s="237"/>
    </row>
    <row r="168" ht="12.75">
      <c r="H168" s="237"/>
    </row>
    <row r="169" ht="12.75">
      <c r="H169" s="237"/>
    </row>
    <row r="170" ht="12.75">
      <c r="H170" s="237"/>
    </row>
    <row r="171" ht="12.75">
      <c r="H171" s="237"/>
    </row>
    <row r="172" ht="12.75">
      <c r="H172" s="237"/>
    </row>
    <row r="173" ht="12.75">
      <c r="H173" s="237"/>
    </row>
    <row r="174" ht="12.75">
      <c r="H174" s="237"/>
    </row>
    <row r="175" ht="12.75">
      <c r="H175" s="237"/>
    </row>
    <row r="176" ht="12.75">
      <c r="H176" s="237"/>
    </row>
    <row r="177" ht="12.75">
      <c r="H177" s="237"/>
    </row>
    <row r="178" ht="12.75">
      <c r="H178" s="237"/>
    </row>
    <row r="179" ht="12.75">
      <c r="H179" s="237"/>
    </row>
    <row r="180" ht="12.75">
      <c r="H180" s="237"/>
    </row>
    <row r="181" ht="12.75">
      <c r="H181" s="237"/>
    </row>
    <row r="182" ht="12.75">
      <c r="H182" s="237"/>
    </row>
    <row r="183" ht="12.75">
      <c r="H183" s="237"/>
    </row>
    <row r="184" ht="12.75">
      <c r="H184" s="237"/>
    </row>
    <row r="185" ht="12.75">
      <c r="H185" s="237"/>
    </row>
    <row r="186" ht="12.75">
      <c r="H186" s="237"/>
    </row>
    <row r="187" ht="12.75">
      <c r="H187" s="237"/>
    </row>
    <row r="188" ht="12.75">
      <c r="H188" s="237"/>
    </row>
    <row r="189" ht="12.75">
      <c r="H189" s="237"/>
    </row>
    <row r="190" ht="12.75">
      <c r="H190" s="237"/>
    </row>
    <row r="191" ht="12.75">
      <c r="H191" s="237"/>
    </row>
    <row r="192" ht="12.75">
      <c r="H192" s="237"/>
    </row>
    <row r="193" ht="12.75">
      <c r="H193" s="237"/>
    </row>
    <row r="194" ht="12.75">
      <c r="H194" s="237"/>
    </row>
    <row r="195" ht="12.75">
      <c r="H195" s="237"/>
    </row>
    <row r="196" ht="12.75">
      <c r="H196" s="237"/>
    </row>
    <row r="197" ht="12.75">
      <c r="H197" s="237"/>
    </row>
    <row r="198" ht="12.75">
      <c r="H198" s="237"/>
    </row>
    <row r="199" ht="12.75">
      <c r="H199" s="237"/>
    </row>
    <row r="200" ht="12.75">
      <c r="H200" s="237"/>
    </row>
    <row r="201" ht="12.75">
      <c r="H201" s="237"/>
    </row>
    <row r="202" ht="12.75">
      <c r="H202" s="237"/>
    </row>
    <row r="203" ht="12.75">
      <c r="H203" s="237"/>
    </row>
    <row r="204" ht="12.75">
      <c r="H204" s="237"/>
    </row>
    <row r="205" ht="12.75">
      <c r="H205" s="237"/>
    </row>
    <row r="206" ht="12.75">
      <c r="H206" s="237"/>
    </row>
    <row r="207" ht="12.75">
      <c r="H207" s="237"/>
    </row>
    <row r="208" ht="12.75">
      <c r="H208" s="237"/>
    </row>
    <row r="209" ht="12.75">
      <c r="H209" s="237"/>
    </row>
    <row r="210" ht="12.75">
      <c r="H210" s="237"/>
    </row>
    <row r="211" ht="12.75">
      <c r="H211" s="237"/>
    </row>
    <row r="212" ht="12.75">
      <c r="H212" s="237"/>
    </row>
    <row r="213" ht="12.75">
      <c r="H213" s="237"/>
    </row>
    <row r="214" ht="12.75">
      <c r="H214" s="237"/>
    </row>
    <row r="215" ht="12.75">
      <c r="H215" s="237"/>
    </row>
    <row r="216" ht="12.75">
      <c r="H216" s="237"/>
    </row>
    <row r="217" ht="12.75">
      <c r="H217" s="237"/>
    </row>
    <row r="218" ht="12.75">
      <c r="H218" s="237"/>
    </row>
    <row r="219" ht="12.75">
      <c r="H219" s="237"/>
    </row>
    <row r="220" ht="12.75">
      <c r="H220" s="237"/>
    </row>
    <row r="221" ht="12.75">
      <c r="H221" s="237"/>
    </row>
    <row r="222" ht="12.75">
      <c r="H222" s="237"/>
    </row>
    <row r="223" ht="12.75">
      <c r="H223" s="237"/>
    </row>
    <row r="224" ht="12.75">
      <c r="H224" s="237"/>
    </row>
    <row r="225" ht="12.75">
      <c r="H225" s="237"/>
    </row>
    <row r="226" ht="12.75">
      <c r="H226" s="237"/>
    </row>
    <row r="227" ht="12.75">
      <c r="H227" s="237"/>
    </row>
    <row r="228" ht="12.75">
      <c r="H228" s="237"/>
    </row>
    <row r="229" ht="12.75">
      <c r="H229" s="237"/>
    </row>
    <row r="230" ht="12.75">
      <c r="H230" s="237"/>
    </row>
    <row r="231" ht="12.75">
      <c r="H231" s="237"/>
    </row>
    <row r="232" ht="12.75">
      <c r="H232" s="237"/>
    </row>
    <row r="233" ht="12.75">
      <c r="H233" s="237"/>
    </row>
    <row r="234" ht="12.75">
      <c r="H234" s="237"/>
    </row>
    <row r="235" ht="12.75">
      <c r="H235" s="237"/>
    </row>
    <row r="236" ht="12.75">
      <c r="H236" s="237"/>
    </row>
    <row r="237" ht="12.75">
      <c r="H237" s="237"/>
    </row>
    <row r="238" ht="12.75">
      <c r="H238" s="237"/>
    </row>
    <row r="239" ht="12.75">
      <c r="H239" s="237"/>
    </row>
    <row r="240" ht="12.75">
      <c r="H240" s="237"/>
    </row>
    <row r="241" ht="12.75">
      <c r="H241" s="237"/>
    </row>
    <row r="242" ht="12.75">
      <c r="H242" s="237"/>
    </row>
    <row r="243" ht="12.75">
      <c r="H243" s="237"/>
    </row>
    <row r="244" ht="12.75">
      <c r="H244" s="237"/>
    </row>
    <row r="245" ht="12.75">
      <c r="H245" s="237"/>
    </row>
    <row r="246" ht="12.75">
      <c r="H246" s="237"/>
    </row>
    <row r="247" ht="12.75">
      <c r="H247" s="237"/>
    </row>
    <row r="248" ht="12.75">
      <c r="H248" s="237"/>
    </row>
    <row r="249" ht="12.75">
      <c r="H249" s="237"/>
    </row>
    <row r="250" ht="12.75">
      <c r="H250" s="237"/>
    </row>
    <row r="251" ht="12.75">
      <c r="H251" s="237"/>
    </row>
    <row r="252" ht="12.75">
      <c r="H252" s="237"/>
    </row>
    <row r="253" ht="12.75">
      <c r="H253" s="237"/>
    </row>
    <row r="254" ht="12.75">
      <c r="H254" s="237"/>
    </row>
    <row r="255" ht="12.75">
      <c r="H255" s="237"/>
    </row>
    <row r="256" ht="12.75">
      <c r="H256" s="237"/>
    </row>
    <row r="257" ht="12.75">
      <c r="H257" s="237"/>
    </row>
    <row r="258" ht="12.75">
      <c r="H258" s="237"/>
    </row>
    <row r="259" ht="12.75">
      <c r="H259" s="237"/>
    </row>
    <row r="260" ht="12.75">
      <c r="H260" s="237"/>
    </row>
    <row r="261" ht="12.75">
      <c r="H261" s="237"/>
    </row>
    <row r="262" ht="12.75">
      <c r="H262" s="237"/>
    </row>
    <row r="263" ht="12.75">
      <c r="H263" s="237"/>
    </row>
    <row r="264" ht="12.75">
      <c r="H264" s="237"/>
    </row>
    <row r="265" ht="12.75">
      <c r="H265" s="237"/>
    </row>
    <row r="266" ht="12.75">
      <c r="H266" s="237"/>
    </row>
    <row r="267" ht="12.75">
      <c r="H267" s="237"/>
    </row>
    <row r="268" ht="12.75">
      <c r="H268" s="237"/>
    </row>
    <row r="269" ht="12.75">
      <c r="H269" s="237"/>
    </row>
    <row r="270" ht="12.75">
      <c r="H270" s="237"/>
    </row>
    <row r="271" ht="12.75">
      <c r="H271" s="237"/>
    </row>
    <row r="272" ht="12.75">
      <c r="H272" s="237"/>
    </row>
    <row r="273" ht="12.75">
      <c r="H273" s="237"/>
    </row>
    <row r="274" ht="12.75">
      <c r="H274" s="237"/>
    </row>
    <row r="275" ht="12.75">
      <c r="H275" s="237"/>
    </row>
    <row r="276" ht="12.75">
      <c r="H276" s="237"/>
    </row>
    <row r="277" ht="12.75">
      <c r="H277" s="237"/>
    </row>
    <row r="278" ht="12.75">
      <c r="H278" s="237"/>
    </row>
    <row r="279" ht="12.75">
      <c r="H279" s="237"/>
    </row>
    <row r="280" ht="12.75">
      <c r="H280" s="237"/>
    </row>
    <row r="281" ht="12.75">
      <c r="H281" s="237"/>
    </row>
    <row r="282" ht="12.75">
      <c r="H282" s="237"/>
    </row>
    <row r="283" ht="12.75">
      <c r="H283" s="237"/>
    </row>
    <row r="284" ht="12.75">
      <c r="H284" s="237"/>
    </row>
    <row r="285" ht="12.75">
      <c r="H285" s="237"/>
    </row>
    <row r="286" ht="12.75">
      <c r="H286" s="237"/>
    </row>
    <row r="287" ht="12.75">
      <c r="H287" s="237"/>
    </row>
    <row r="288" ht="12.75">
      <c r="H288" s="237"/>
    </row>
    <row r="289" ht="12.75">
      <c r="H289" s="237"/>
    </row>
    <row r="290" ht="12.75">
      <c r="H290" s="237"/>
    </row>
    <row r="291" ht="12.75">
      <c r="H291" s="237"/>
    </row>
    <row r="292" ht="12.75">
      <c r="H292" s="237"/>
    </row>
    <row r="293" ht="12.75">
      <c r="H293" s="237"/>
    </row>
    <row r="294" ht="12.75">
      <c r="H294" s="237"/>
    </row>
    <row r="295" ht="12.75">
      <c r="H295" s="237"/>
    </row>
    <row r="296" ht="12.75">
      <c r="H296" s="237"/>
    </row>
    <row r="297" ht="12.75">
      <c r="H297" s="237"/>
    </row>
    <row r="298" ht="12.75">
      <c r="H298" s="237"/>
    </row>
    <row r="299" ht="12.75">
      <c r="H299" s="237"/>
    </row>
    <row r="300" ht="12.75">
      <c r="H300" s="237"/>
    </row>
    <row r="301" ht="12.75">
      <c r="H301" s="237"/>
    </row>
    <row r="302" ht="12.75">
      <c r="H302" s="237"/>
    </row>
    <row r="303" ht="12.75">
      <c r="H303" s="237"/>
    </row>
    <row r="304" ht="12.75">
      <c r="H304" s="237"/>
    </row>
    <row r="305" ht="12.75">
      <c r="H305" s="237"/>
    </row>
    <row r="306" ht="12.75">
      <c r="H306" s="237"/>
    </row>
    <row r="307" ht="12.75">
      <c r="H307" s="237"/>
    </row>
    <row r="308" ht="12.75">
      <c r="H308" s="237"/>
    </row>
    <row r="309" ht="12.75">
      <c r="H309" s="237"/>
    </row>
    <row r="310" ht="12.75">
      <c r="H310" s="237"/>
    </row>
    <row r="311" ht="12.75">
      <c r="H311" s="237"/>
    </row>
    <row r="312" ht="12.75">
      <c r="H312" s="237"/>
    </row>
    <row r="313" ht="12.75">
      <c r="H313" s="237"/>
    </row>
    <row r="314" ht="12.75">
      <c r="H314" s="237"/>
    </row>
    <row r="315" ht="12.75">
      <c r="H315" s="237"/>
    </row>
    <row r="316" ht="12.75">
      <c r="H316" s="237"/>
    </row>
    <row r="317" ht="12.75">
      <c r="H317" s="237"/>
    </row>
    <row r="318" ht="12.75">
      <c r="H318" s="237"/>
    </row>
    <row r="319" ht="12.75">
      <c r="H319" s="237"/>
    </row>
    <row r="320" ht="12.75">
      <c r="H320" s="237"/>
    </row>
    <row r="321" ht="12.75">
      <c r="H321" s="237"/>
    </row>
    <row r="322" ht="12.75">
      <c r="H322" s="237"/>
    </row>
    <row r="323" ht="12.75">
      <c r="H323" s="237"/>
    </row>
    <row r="324" ht="12.75">
      <c r="H324" s="237"/>
    </row>
    <row r="325" ht="12.75">
      <c r="H325" s="237"/>
    </row>
    <row r="326" ht="12.75">
      <c r="H326" s="237"/>
    </row>
    <row r="327" ht="12.75">
      <c r="H327" s="237"/>
    </row>
    <row r="328" ht="12.75">
      <c r="H328" s="237"/>
    </row>
    <row r="329" ht="12.75">
      <c r="H329" s="237"/>
    </row>
    <row r="330" ht="12.75">
      <c r="H330" s="237"/>
    </row>
    <row r="331" ht="12.75">
      <c r="H331" s="237"/>
    </row>
    <row r="332" ht="12.75">
      <c r="H332" s="237"/>
    </row>
    <row r="333" ht="12.75">
      <c r="H333" s="237"/>
    </row>
    <row r="334" ht="12.75">
      <c r="H334" s="237"/>
    </row>
    <row r="335" ht="12.75">
      <c r="H335" s="237"/>
    </row>
    <row r="336" ht="12.75">
      <c r="H336" s="237"/>
    </row>
    <row r="337" ht="12.75">
      <c r="H337" s="237"/>
    </row>
    <row r="338" ht="12.75">
      <c r="H338" s="237"/>
    </row>
    <row r="339" ht="12.75">
      <c r="H339" s="237"/>
    </row>
    <row r="340" ht="12.75">
      <c r="H340" s="237"/>
    </row>
  </sheetData>
  <sheetProtection password="CAF5" sheet="1" objects="1" scenarios="1"/>
  <mergeCells count="8">
    <mergeCell ref="B5:I5"/>
    <mergeCell ref="G7:G9"/>
    <mergeCell ref="H7:H9"/>
    <mergeCell ref="A1:H1"/>
    <mergeCell ref="C6:E6"/>
    <mergeCell ref="E7:E9"/>
    <mergeCell ref="A3:H3"/>
    <mergeCell ref="G6:I6"/>
  </mergeCells>
  <printOptions horizontalCentered="1"/>
  <pageMargins left="0.68" right="0.61" top="0.83" bottom="1" header="0.67" footer="0.5"/>
  <pageSetup fitToHeight="1" fitToWidth="1" horizontalDpi="600" verticalDpi="600" orientation="landscape" scale="97" r:id="rId1"/>
  <headerFooter alignWithMargins="0">
    <oddFooter>&amp;L&amp;"Arial,Italic"&amp;9MSDE - LFRO  11 / 2012&amp;C- 8 -&amp;R&amp;"Arial,Italic"&amp;9Selected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25">
      <selection activeCell="C36" sqref="C36"/>
    </sheetView>
  </sheetViews>
  <sheetFormatPr defaultColWidth="9.140625" defaultRowHeight="12.75"/>
  <cols>
    <col min="1" max="1" width="14.140625" style="0" customWidth="1"/>
    <col min="2" max="2" width="14.140625" style="250" customWidth="1"/>
    <col min="3" max="3" width="14.140625" style="255" customWidth="1"/>
    <col min="4" max="4" width="12.140625" style="250" customWidth="1"/>
    <col min="5" max="5" width="11.8515625" style="250" customWidth="1"/>
    <col min="6" max="6" width="11.28125" style="250" bestFit="1" customWidth="1"/>
    <col min="7" max="7" width="2.8515625" style="250" customWidth="1"/>
    <col min="8" max="8" width="12.421875" style="0" bestFit="1" customWidth="1"/>
    <col min="9" max="9" width="14.00390625" style="0" bestFit="1" customWidth="1"/>
  </cols>
  <sheetData>
    <row r="1" spans="1:7" ht="12.75">
      <c r="A1" s="432" t="s">
        <v>117</v>
      </c>
      <c r="B1" s="432"/>
      <c r="C1" s="432"/>
      <c r="D1" s="432"/>
      <c r="E1" s="432"/>
      <c r="F1" s="432"/>
      <c r="G1" s="319"/>
    </row>
    <row r="2" spans="1:3" ht="12.75">
      <c r="A2" s="19"/>
      <c r="B2" s="257"/>
      <c r="C2" s="299"/>
    </row>
    <row r="3" spans="1:7" s="55" customFormat="1" ht="12.75">
      <c r="A3" s="438" t="s">
        <v>249</v>
      </c>
      <c r="B3" s="467"/>
      <c r="C3" s="467"/>
      <c r="D3" s="467"/>
      <c r="E3" s="467"/>
      <c r="F3" s="467"/>
      <c r="G3" s="320"/>
    </row>
    <row r="4" spans="1:9" ht="13.5" thickBot="1">
      <c r="A4" s="11"/>
      <c r="B4" s="246"/>
      <c r="C4" s="261"/>
      <c r="D4" s="261"/>
      <c r="E4" s="261"/>
      <c r="F4" s="261"/>
      <c r="G4" s="261"/>
      <c r="H4" s="11"/>
      <c r="I4" s="11"/>
    </row>
    <row r="5" spans="2:9" ht="15" customHeight="1" thickTop="1">
      <c r="B5" s="466" t="s">
        <v>47</v>
      </c>
      <c r="C5" s="466"/>
      <c r="D5" s="466"/>
      <c r="E5" s="466"/>
      <c r="F5" s="466"/>
      <c r="G5" s="466"/>
      <c r="H5" s="466"/>
      <c r="I5" s="466"/>
    </row>
    <row r="6" spans="2:26" ht="12.75">
      <c r="B6" s="477" t="s">
        <v>122</v>
      </c>
      <c r="C6" s="477"/>
      <c r="D6" s="477"/>
      <c r="E6" s="477"/>
      <c r="F6" s="477"/>
      <c r="G6" s="342"/>
      <c r="H6" s="476"/>
      <c r="I6" s="47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2.75" customHeight="1" thickBot="1">
      <c r="A7" s="468" t="s">
        <v>157</v>
      </c>
      <c r="B7" s="274"/>
      <c r="C7" s="223"/>
      <c r="D7" s="471" t="s">
        <v>124</v>
      </c>
      <c r="E7" s="471"/>
      <c r="F7" s="471"/>
      <c r="G7" s="30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469"/>
      <c r="B8" s="251" t="s">
        <v>30</v>
      </c>
      <c r="C8" s="301" t="s">
        <v>128</v>
      </c>
      <c r="D8" s="473" t="s">
        <v>25</v>
      </c>
      <c r="E8" s="472" t="s">
        <v>156</v>
      </c>
      <c r="F8" s="472"/>
      <c r="G8" s="301"/>
      <c r="H8" s="293" t="s">
        <v>123</v>
      </c>
      <c r="I8" s="293" t="s">
        <v>147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9" ht="12.75" customHeight="1">
      <c r="A9" s="469"/>
      <c r="B9" s="251" t="s">
        <v>31</v>
      </c>
      <c r="C9" s="301" t="s">
        <v>129</v>
      </c>
      <c r="D9" s="474"/>
      <c r="E9" s="293" t="s">
        <v>125</v>
      </c>
      <c r="F9" s="293" t="s">
        <v>64</v>
      </c>
      <c r="G9" s="293"/>
      <c r="H9" s="293" t="s">
        <v>130</v>
      </c>
      <c r="I9" s="293" t="s">
        <v>148</v>
      </c>
    </row>
    <row r="10" spans="1:9" ht="13.5" thickBot="1">
      <c r="A10" s="470"/>
      <c r="B10" s="252" t="s">
        <v>32</v>
      </c>
      <c r="C10" s="284" t="s">
        <v>33</v>
      </c>
      <c r="D10" s="475"/>
      <c r="E10" s="284" t="s">
        <v>126</v>
      </c>
      <c r="F10" s="284" t="s">
        <v>127</v>
      </c>
      <c r="G10" s="301"/>
      <c r="H10" s="284" t="s">
        <v>131</v>
      </c>
      <c r="I10" s="284" t="s">
        <v>27</v>
      </c>
    </row>
    <row r="11" spans="1:9" s="44" customFormat="1" ht="12.75">
      <c r="A11" s="47" t="s">
        <v>0</v>
      </c>
      <c r="B11" s="304">
        <f>SUM(B13:B40)</f>
        <v>9663.39</v>
      </c>
      <c r="C11" s="296">
        <f>SUM(C13:C40)</f>
        <v>1362316.89</v>
      </c>
      <c r="D11" s="296">
        <f>SUM(D13:D40)</f>
        <v>373135</v>
      </c>
      <c r="E11" s="296">
        <f>SUM(E13:E40)</f>
        <v>24507</v>
      </c>
      <c r="F11" s="296">
        <f>SUM(F13:F40)</f>
        <v>368113</v>
      </c>
      <c r="G11" s="296"/>
      <c r="H11" s="295">
        <f>SUM(H13:H40)</f>
        <v>38737</v>
      </c>
      <c r="I11" s="296">
        <f>SUM(I13:I40)</f>
        <v>4216674.319999999</v>
      </c>
    </row>
    <row r="12" spans="1:9" ht="12.75">
      <c r="A12" s="3"/>
      <c r="B12" s="300"/>
      <c r="C12" s="237"/>
      <c r="D12" s="237"/>
      <c r="E12" s="237"/>
      <c r="F12" s="237"/>
      <c r="G12" s="237"/>
      <c r="H12" s="238"/>
      <c r="I12" s="238"/>
    </row>
    <row r="13" spans="1:10" ht="12.75">
      <c r="A13" t="s">
        <v>1</v>
      </c>
      <c r="B13" s="154">
        <v>0</v>
      </c>
      <c r="C13" s="49">
        <v>78605.54000000001</v>
      </c>
      <c r="D13" s="375">
        <v>0</v>
      </c>
      <c r="E13" s="49">
        <v>0</v>
      </c>
      <c r="F13" s="49">
        <v>0</v>
      </c>
      <c r="G13" s="358"/>
      <c r="H13" s="154">
        <v>0</v>
      </c>
      <c r="I13" s="358">
        <v>0</v>
      </c>
      <c r="J13" s="5"/>
    </row>
    <row r="14" spans="1:10" ht="12.75">
      <c r="A14" t="s">
        <v>2</v>
      </c>
      <c r="B14" s="154">
        <v>0</v>
      </c>
      <c r="C14" s="49">
        <v>64532.08</v>
      </c>
      <c r="D14" s="153">
        <v>0</v>
      </c>
      <c r="E14" s="154">
        <v>0</v>
      </c>
      <c r="F14" s="154">
        <v>0</v>
      </c>
      <c r="G14" s="153"/>
      <c r="H14" s="154">
        <v>0</v>
      </c>
      <c r="I14" s="375">
        <v>334858</v>
      </c>
      <c r="J14" s="5"/>
    </row>
    <row r="15" spans="1:10" ht="12.75">
      <c r="A15" t="s">
        <v>3</v>
      </c>
      <c r="B15" s="154">
        <v>0</v>
      </c>
      <c r="C15" s="154">
        <v>14922.9</v>
      </c>
      <c r="D15" s="153">
        <v>0</v>
      </c>
      <c r="E15" s="154">
        <v>0</v>
      </c>
      <c r="F15" s="154">
        <v>0</v>
      </c>
      <c r="G15" s="153"/>
      <c r="H15" s="154">
        <v>0</v>
      </c>
      <c r="I15" s="358">
        <v>0</v>
      </c>
      <c r="J15" s="5"/>
    </row>
    <row r="16" spans="1:10" ht="12.75">
      <c r="A16" t="s">
        <v>4</v>
      </c>
      <c r="B16" s="154">
        <v>0</v>
      </c>
      <c r="C16" s="49">
        <v>19612.690000000002</v>
      </c>
      <c r="D16" s="375">
        <v>24677</v>
      </c>
      <c r="E16" s="383">
        <v>0</v>
      </c>
      <c r="F16" s="49">
        <v>78607</v>
      </c>
      <c r="G16" s="153"/>
      <c r="H16" s="154">
        <v>0</v>
      </c>
      <c r="I16" s="375">
        <v>2820789</v>
      </c>
      <c r="J16" s="5"/>
    </row>
    <row r="17" spans="1:10" ht="12.75">
      <c r="A17" t="s">
        <v>5</v>
      </c>
      <c r="B17" s="154">
        <v>0</v>
      </c>
      <c r="C17" s="49">
        <v>39325.64</v>
      </c>
      <c r="D17" s="375">
        <v>18517</v>
      </c>
      <c r="E17" s="49">
        <v>20282</v>
      </c>
      <c r="F17" s="49">
        <v>150832</v>
      </c>
      <c r="G17" s="153"/>
      <c r="H17" s="154">
        <v>0</v>
      </c>
      <c r="I17" s="375">
        <v>62943.22</v>
      </c>
      <c r="J17" s="5"/>
    </row>
    <row r="18" spans="2:10" ht="12.75">
      <c r="B18" s="384"/>
      <c r="C18" s="154"/>
      <c r="D18" s="153"/>
      <c r="E18" s="154"/>
      <c r="F18" s="154"/>
      <c r="G18" s="153"/>
      <c r="H18" s="384"/>
      <c r="I18" s="358"/>
      <c r="J18" s="5"/>
    </row>
    <row r="19" spans="1:10" ht="12.75">
      <c r="A19" t="s">
        <v>6</v>
      </c>
      <c r="B19" s="154">
        <v>0</v>
      </c>
      <c r="C19" s="49">
        <v>71939.29000000001</v>
      </c>
      <c r="D19" s="153">
        <v>0</v>
      </c>
      <c r="E19" s="154">
        <v>0</v>
      </c>
      <c r="F19" s="154">
        <v>0</v>
      </c>
      <c r="G19" s="153"/>
      <c r="H19" s="154">
        <v>0</v>
      </c>
      <c r="I19" s="358">
        <v>0</v>
      </c>
      <c r="J19" s="5"/>
    </row>
    <row r="20" spans="1:10" ht="12.75">
      <c r="A20" t="s">
        <v>7</v>
      </c>
      <c r="B20" s="154">
        <v>0</v>
      </c>
      <c r="C20" s="49">
        <v>75763.63</v>
      </c>
      <c r="D20" s="358">
        <v>0</v>
      </c>
      <c r="E20" s="383">
        <v>0</v>
      </c>
      <c r="F20" s="383">
        <v>0</v>
      </c>
      <c r="G20" s="358"/>
      <c r="H20" s="154">
        <v>0</v>
      </c>
      <c r="I20" s="375">
        <v>33658.63</v>
      </c>
      <c r="J20" s="5"/>
    </row>
    <row r="21" spans="1:10" ht="12.75">
      <c r="A21" t="s">
        <v>8</v>
      </c>
      <c r="B21" s="154">
        <v>0</v>
      </c>
      <c r="C21" s="49">
        <v>19707.13</v>
      </c>
      <c r="D21" s="153">
        <v>0</v>
      </c>
      <c r="E21" s="154">
        <v>0</v>
      </c>
      <c r="F21" s="154">
        <v>0</v>
      </c>
      <c r="G21" s="153"/>
      <c r="H21" s="154">
        <v>0</v>
      </c>
      <c r="I21" s="385">
        <v>0</v>
      </c>
      <c r="J21" s="5"/>
    </row>
    <row r="22" spans="1:10" ht="12.75">
      <c r="A22" t="s">
        <v>9</v>
      </c>
      <c r="B22" s="154">
        <v>0</v>
      </c>
      <c r="C22" s="49">
        <v>58430.86</v>
      </c>
      <c r="D22" s="358">
        <v>0</v>
      </c>
      <c r="E22" s="383">
        <v>0</v>
      </c>
      <c r="F22" s="383">
        <v>0</v>
      </c>
      <c r="G22" s="358"/>
      <c r="H22" s="154">
        <v>0</v>
      </c>
      <c r="I22" s="375">
        <v>39835.61</v>
      </c>
      <c r="J22" s="5"/>
    </row>
    <row r="23" spans="1:10" ht="12.75">
      <c r="A23" t="s">
        <v>10</v>
      </c>
      <c r="B23" s="154">
        <v>0</v>
      </c>
      <c r="C23" s="49">
        <v>2565.96</v>
      </c>
      <c r="D23" s="358">
        <v>0</v>
      </c>
      <c r="E23" s="154">
        <v>0</v>
      </c>
      <c r="F23" s="383">
        <v>0</v>
      </c>
      <c r="G23" s="358"/>
      <c r="H23" s="154">
        <v>0</v>
      </c>
      <c r="I23" s="358">
        <v>0</v>
      </c>
      <c r="J23" s="5"/>
    </row>
    <row r="24" spans="2:10" ht="12.75">
      <c r="B24" s="384"/>
      <c r="C24" s="154"/>
      <c r="D24" s="153"/>
      <c r="E24" s="154"/>
      <c r="F24" s="154"/>
      <c r="G24" s="153"/>
      <c r="H24" s="384"/>
      <c r="I24" s="358"/>
      <c r="J24" s="5"/>
    </row>
    <row r="25" spans="1:10" ht="12.75">
      <c r="A25" t="s">
        <v>11</v>
      </c>
      <c r="B25" s="154">
        <v>0</v>
      </c>
      <c r="C25" s="49">
        <v>151292.06</v>
      </c>
      <c r="D25" s="358">
        <v>0</v>
      </c>
      <c r="E25" s="383">
        <v>0</v>
      </c>
      <c r="F25" s="383">
        <v>0</v>
      </c>
      <c r="G25" s="358"/>
      <c r="H25" s="154">
        <v>0</v>
      </c>
      <c r="I25" s="375">
        <v>11166.69</v>
      </c>
      <c r="J25" s="5"/>
    </row>
    <row r="26" spans="1:10" ht="12.75">
      <c r="A26" t="s">
        <v>12</v>
      </c>
      <c r="B26" s="154">
        <v>0</v>
      </c>
      <c r="C26" s="49">
        <v>44453.45</v>
      </c>
      <c r="D26" s="153">
        <v>0</v>
      </c>
      <c r="E26" s="154">
        <v>0</v>
      </c>
      <c r="F26" s="154">
        <v>0</v>
      </c>
      <c r="G26" s="153"/>
      <c r="H26" s="154">
        <v>0</v>
      </c>
      <c r="I26" s="375">
        <v>44294.32</v>
      </c>
      <c r="J26" s="5"/>
    </row>
    <row r="27" spans="1:10" ht="12.75">
      <c r="A27" t="s">
        <v>13</v>
      </c>
      <c r="B27" s="154">
        <v>0</v>
      </c>
      <c r="C27" s="49">
        <v>142475.27000000002</v>
      </c>
      <c r="D27" s="153">
        <v>0</v>
      </c>
      <c r="E27" s="154">
        <v>0</v>
      </c>
      <c r="F27" s="154">
        <v>0</v>
      </c>
      <c r="G27" s="153"/>
      <c r="H27" s="154">
        <v>0</v>
      </c>
      <c r="I27" s="375">
        <v>159277.84</v>
      </c>
      <c r="J27" s="5"/>
    </row>
    <row r="28" spans="1:10" ht="12.75">
      <c r="A28" t="s">
        <v>14</v>
      </c>
      <c r="B28" s="154">
        <v>0</v>
      </c>
      <c r="C28" s="49">
        <v>46707.15</v>
      </c>
      <c r="D28" s="153">
        <v>0</v>
      </c>
      <c r="E28" s="154">
        <v>0</v>
      </c>
      <c r="F28" s="154">
        <v>0</v>
      </c>
      <c r="G28" s="153"/>
      <c r="H28" s="154">
        <v>0</v>
      </c>
      <c r="I28" s="375">
        <v>527261</v>
      </c>
      <c r="J28" s="5"/>
    </row>
    <row r="29" spans="1:10" ht="12.75">
      <c r="A29" t="s">
        <v>15</v>
      </c>
      <c r="B29" s="154">
        <v>0</v>
      </c>
      <c r="C29" s="49">
        <v>40696.630000000005</v>
      </c>
      <c r="D29" s="358">
        <v>0</v>
      </c>
      <c r="E29" s="154">
        <v>0</v>
      </c>
      <c r="F29" s="383">
        <v>0</v>
      </c>
      <c r="G29" s="358"/>
      <c r="H29" s="154">
        <v>0</v>
      </c>
      <c r="I29" s="375">
        <v>60941.99</v>
      </c>
      <c r="J29" s="5"/>
    </row>
    <row r="30" spans="2:10" ht="12.75">
      <c r="B30" s="384"/>
      <c r="C30" s="154"/>
      <c r="D30" s="153"/>
      <c r="E30" s="154"/>
      <c r="F30" s="154"/>
      <c r="G30" s="153"/>
      <c r="H30" s="384"/>
      <c r="I30" s="358"/>
      <c r="J30" s="5"/>
    </row>
    <row r="31" spans="1:10" ht="12.75">
      <c r="A31" t="s">
        <v>16</v>
      </c>
      <c r="B31" s="154">
        <v>0</v>
      </c>
      <c r="C31" s="154">
        <v>0</v>
      </c>
      <c r="D31" s="358">
        <v>0</v>
      </c>
      <c r="E31" s="154">
        <v>0</v>
      </c>
      <c r="F31" s="154">
        <v>0</v>
      </c>
      <c r="G31" s="153"/>
      <c r="H31" s="154">
        <v>0</v>
      </c>
      <c r="I31" s="358">
        <v>0</v>
      </c>
      <c r="J31" s="5"/>
    </row>
    <row r="32" spans="1:10" ht="12.75">
      <c r="A32" t="s">
        <v>17</v>
      </c>
      <c r="B32" s="154">
        <v>0</v>
      </c>
      <c r="C32" s="49">
        <v>15327</v>
      </c>
      <c r="D32" s="358">
        <v>0</v>
      </c>
      <c r="E32" s="383">
        <v>0</v>
      </c>
      <c r="F32" s="383">
        <v>0</v>
      </c>
      <c r="G32" s="358"/>
      <c r="H32" s="154">
        <v>0</v>
      </c>
      <c r="I32" s="375">
        <v>71260.09</v>
      </c>
      <c r="J32" s="5"/>
    </row>
    <row r="33" spans="1:10" ht="12.75">
      <c r="A33" t="s">
        <v>18</v>
      </c>
      <c r="B33" s="154">
        <v>0</v>
      </c>
      <c r="C33" s="49">
        <v>78267.47</v>
      </c>
      <c r="D33" s="358">
        <v>0</v>
      </c>
      <c r="E33" s="383">
        <v>0</v>
      </c>
      <c r="F33" s="383">
        <v>0</v>
      </c>
      <c r="G33" s="358"/>
      <c r="H33" s="154">
        <v>0</v>
      </c>
      <c r="I33" s="375">
        <v>5955.68</v>
      </c>
      <c r="J33" s="5"/>
    </row>
    <row r="34" spans="1:10" ht="12.75">
      <c r="A34" t="s">
        <v>19</v>
      </c>
      <c r="B34" s="154">
        <v>0</v>
      </c>
      <c r="C34" s="49">
        <v>89754.45</v>
      </c>
      <c r="D34" s="375">
        <v>203963</v>
      </c>
      <c r="E34" s="154">
        <v>0</v>
      </c>
      <c r="F34" s="49">
        <v>0</v>
      </c>
      <c r="G34" s="358"/>
      <c r="H34" s="154">
        <v>0</v>
      </c>
      <c r="I34" s="358">
        <v>0</v>
      </c>
      <c r="J34" s="5"/>
    </row>
    <row r="35" spans="1:10" ht="12.75">
      <c r="A35" t="s">
        <v>20</v>
      </c>
      <c r="B35" s="154">
        <v>0</v>
      </c>
      <c r="C35" s="154">
        <v>20800.4</v>
      </c>
      <c r="D35" s="375">
        <v>6954</v>
      </c>
      <c r="E35" s="49">
        <v>4225</v>
      </c>
      <c r="F35" s="49">
        <v>138674</v>
      </c>
      <c r="G35" s="153"/>
      <c r="H35" s="154">
        <v>0</v>
      </c>
      <c r="I35" s="358">
        <v>0</v>
      </c>
      <c r="J35" s="5"/>
    </row>
    <row r="36" spans="2:10" ht="12.75">
      <c r="B36" s="384"/>
      <c r="C36" s="154"/>
      <c r="D36" s="153"/>
      <c r="E36" s="154"/>
      <c r="F36" s="154"/>
      <c r="G36" s="153"/>
      <c r="H36" s="384"/>
      <c r="I36" s="358"/>
      <c r="J36" s="5"/>
    </row>
    <row r="37" spans="1:10" ht="12.75">
      <c r="A37" t="s">
        <v>21</v>
      </c>
      <c r="B37" s="154">
        <v>0</v>
      </c>
      <c r="C37" s="49">
        <v>40000</v>
      </c>
      <c r="D37" s="153">
        <v>0</v>
      </c>
      <c r="E37" s="154">
        <v>0</v>
      </c>
      <c r="F37" s="154">
        <v>0</v>
      </c>
      <c r="G37" s="153"/>
      <c r="H37" s="154">
        <v>0</v>
      </c>
      <c r="I37" s="375">
        <v>18095.64</v>
      </c>
      <c r="J37" s="5"/>
    </row>
    <row r="38" spans="1:10" ht="12.75">
      <c r="A38" t="s">
        <v>22</v>
      </c>
      <c r="B38" s="154">
        <v>0</v>
      </c>
      <c r="C38" s="49">
        <v>80920.6</v>
      </c>
      <c r="D38" s="358">
        <v>0</v>
      </c>
      <c r="E38" s="383">
        <v>0</v>
      </c>
      <c r="F38" s="383">
        <v>0</v>
      </c>
      <c r="G38" s="358"/>
      <c r="H38" s="375">
        <v>38737</v>
      </c>
      <c r="I38" s="375">
        <v>14233.81</v>
      </c>
      <c r="J38" s="5"/>
    </row>
    <row r="39" spans="1:10" ht="12.75">
      <c r="A39" t="s">
        <v>23</v>
      </c>
      <c r="B39" s="375">
        <v>9663.39</v>
      </c>
      <c r="C39" s="49">
        <v>119546.92000000001</v>
      </c>
      <c r="D39" s="153">
        <v>0</v>
      </c>
      <c r="E39" s="154">
        <v>0</v>
      </c>
      <c r="F39" s="154">
        <v>0</v>
      </c>
      <c r="G39" s="153"/>
      <c r="H39" s="154">
        <v>0</v>
      </c>
      <c r="I39" s="375">
        <v>12102.8</v>
      </c>
      <c r="J39" s="5"/>
    </row>
    <row r="40" spans="1:9" ht="12.75">
      <c r="A40" s="12" t="s">
        <v>24</v>
      </c>
      <c r="B40" s="386">
        <v>0</v>
      </c>
      <c r="C40" s="155">
        <v>46669.770000000004</v>
      </c>
      <c r="D40" s="139">
        <v>119024</v>
      </c>
      <c r="E40" s="155">
        <v>0</v>
      </c>
      <c r="F40" s="155">
        <v>0</v>
      </c>
      <c r="G40" s="155"/>
      <c r="H40" s="155">
        <v>0</v>
      </c>
      <c r="I40" s="387">
        <v>0</v>
      </c>
    </row>
  </sheetData>
  <sheetProtection password="CAF5" sheet="1" objects="1" scenarios="1"/>
  <mergeCells count="9">
    <mergeCell ref="B5:I5"/>
    <mergeCell ref="A1:F1"/>
    <mergeCell ref="A3:F3"/>
    <mergeCell ref="A7:A10"/>
    <mergeCell ref="D7:F7"/>
    <mergeCell ref="E8:F8"/>
    <mergeCell ref="D8:D10"/>
    <mergeCell ref="H6:I6"/>
    <mergeCell ref="B6:F6"/>
  </mergeCells>
  <printOptions horizontalCentered="1"/>
  <pageMargins left="0.44" right="0.37" top="0.83" bottom="1" header="0.67" footer="0.5"/>
  <pageSetup fitToHeight="1" fitToWidth="1" horizontalDpi="600" verticalDpi="600" orientation="landscape" scale="96" r:id="rId1"/>
  <headerFooter alignWithMargins="0">
    <oddFooter>&amp;L&amp;"Arial,Italic"&amp;9MSDE - LFRO  11 / 2012&amp;C- 9 -&amp;R&amp;"Arial,Italic"&amp;9Selected Financial Data-Part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2008 PART 1 Released 10-8-2009</dc:title>
  <dc:subject>Updated as of 11-9-2009</dc:subject>
  <dc:creator>Ron Ieng</dc:creator>
  <cp:keywords/>
  <dc:description/>
  <cp:lastModifiedBy>rieng</cp:lastModifiedBy>
  <cp:lastPrinted>2012-12-04T16:28:07Z</cp:lastPrinted>
  <dcterms:created xsi:type="dcterms:W3CDTF">1998-03-02T22:29:13Z</dcterms:created>
  <dcterms:modified xsi:type="dcterms:W3CDTF">2013-01-09T22:36:56Z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Left_Content">
    <vt:lpwstr/>
  </property>
  <property fmtid="{D5CDD505-2E9C-101B-9397-08002B2CF9AE}" pid="7" name="Right_Content">
    <vt:lpwstr/>
  </property>
  <property fmtid="{D5CDD505-2E9C-101B-9397-08002B2CF9AE}" pid="8" name="Lt_bottom_Content">
    <vt:lpwstr/>
  </property>
  <property fmtid="{D5CDD505-2E9C-101B-9397-08002B2CF9AE}" pid="9" name="Top_Left_Content">
    <vt:lpwstr/>
  </property>
  <property fmtid="{D5CDD505-2E9C-101B-9397-08002B2CF9AE}" pid="10" name="Order">
    <vt:lpwstr>157200.000000000</vt:lpwstr>
  </property>
  <property fmtid="{D5CDD505-2E9C-101B-9397-08002B2CF9AE}" pid="11" name="PublishingRollupImage">
    <vt:lpwstr/>
  </property>
  <property fmtid="{D5CDD505-2E9C-101B-9397-08002B2CF9AE}" pid="12" name="ArticleStartDate">
    <vt:lpwstr/>
  </property>
  <property fmtid="{D5CDD505-2E9C-101B-9397-08002B2CF9AE}" pid="13" name="Rt_Inner_Content">
    <vt:lpwstr/>
  </property>
  <property fmtid="{D5CDD505-2E9C-101B-9397-08002B2CF9AE}" pid="14" name="TemplateUrl">
    <vt:lpwstr/>
  </property>
  <property fmtid="{D5CDD505-2E9C-101B-9397-08002B2CF9AE}" pid="15" name="Audience">
    <vt:lpwstr/>
  </property>
  <property fmtid="{D5CDD505-2E9C-101B-9397-08002B2CF9AE}" pid="16" name="Rt_Center_Content">
    <vt:lpwstr/>
  </property>
  <property fmtid="{D5CDD505-2E9C-101B-9397-08002B2CF9AE}" pid="17" name="ArticleByLine">
    <vt:lpwstr/>
  </property>
  <property fmtid="{D5CDD505-2E9C-101B-9397-08002B2CF9AE}" pid="18" name="PublishingImageCaption">
    <vt:lpwstr/>
  </property>
  <property fmtid="{D5CDD505-2E9C-101B-9397-08002B2CF9AE}" pid="19" name="PublishingContactEmail">
    <vt:lpwstr/>
  </property>
  <property fmtid="{D5CDD505-2E9C-101B-9397-08002B2CF9AE}" pid="20" name="PageKeywords">
    <vt:lpwstr/>
  </property>
  <property fmtid="{D5CDD505-2E9C-101B-9397-08002B2CF9AE}" pid="21" name="xd_Signature">
    <vt:lpwstr/>
  </property>
  <property fmtid="{D5CDD505-2E9C-101B-9397-08002B2CF9AE}" pid="22" name="PublishingIsFurlPage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xd_ProgID">
    <vt:lpwstr/>
  </property>
  <property fmtid="{D5CDD505-2E9C-101B-9397-08002B2CF9AE}" pid="26" name="PublishingStartDate">
    <vt:lpwstr/>
  </property>
  <property fmtid="{D5CDD505-2E9C-101B-9397-08002B2CF9AE}" pid="27" name="PublishingExpirationDate">
    <vt:lpwstr/>
  </property>
  <property fmtid="{D5CDD505-2E9C-101B-9397-08002B2CF9AE}" pid="28" name="PublishingContactPicture">
    <vt:lpwstr/>
  </property>
  <property fmtid="{D5CDD505-2E9C-101B-9397-08002B2CF9AE}" pid="29" name="PublishingVariationGroupID">
    <vt:lpwstr/>
  </property>
  <property fmtid="{D5CDD505-2E9C-101B-9397-08002B2CF9AE}" pid="30" name="RobotsNoIndex">
    <vt:lpwstr/>
  </property>
  <property fmtid="{D5CDD505-2E9C-101B-9397-08002B2CF9AE}" pid="31" name="Center_Content">
    <vt:lpwstr/>
  </property>
  <property fmtid="{D5CDD505-2E9C-101B-9397-08002B2CF9AE}" pid="32" name="Rt_bottom_Content">
    <vt:lpwstr/>
  </property>
  <property fmtid="{D5CDD505-2E9C-101B-9397-08002B2CF9AE}" pid="33" name="PageDescription">
    <vt:lpwstr/>
  </property>
  <property fmtid="{D5CDD505-2E9C-101B-9397-08002B2CF9AE}" pid="34" name="SeoMetaDescription">
    <vt:lpwstr/>
  </property>
  <property fmtid="{D5CDD505-2E9C-101B-9397-08002B2CF9AE}" pid="35" name="PublishingContactName">
    <vt:lpwstr/>
  </property>
  <property fmtid="{D5CDD505-2E9C-101B-9397-08002B2CF9AE}" pid="36" name="PublishingVariationRelationshipLinkFieldID">
    <vt:lpwstr/>
  </property>
  <property fmtid="{D5CDD505-2E9C-101B-9397-08002B2CF9AE}" pid="37" name="_SourceUrl">
    <vt:lpwstr/>
  </property>
  <property fmtid="{D5CDD505-2E9C-101B-9397-08002B2CF9AE}" pid="38" name="_SharedFileIndex">
    <vt:lpwstr/>
  </property>
  <property fmtid="{D5CDD505-2E9C-101B-9397-08002B2CF9AE}" pid="39" name="Comments">
    <vt:lpwstr/>
  </property>
  <property fmtid="{D5CDD505-2E9C-101B-9397-08002B2CF9AE}" pid="40" name="PublishingPageLayout">
    <vt:lpwstr/>
  </property>
  <property fmtid="{D5CDD505-2E9C-101B-9397-08002B2CF9AE}" pid="41" name="Lt_Inner_Content">
    <vt:lpwstr/>
  </property>
  <property fmtid="{D5CDD505-2E9C-101B-9397-08002B2CF9AE}" pid="42" name="HeaderStyleDefinitions">
    <vt:lpwstr/>
  </property>
  <property fmtid="{D5CDD505-2E9C-101B-9397-08002B2CF9AE}" pid="43" name="Main_Content">
    <vt:lpwstr/>
  </property>
  <property fmtid="{D5CDD505-2E9C-101B-9397-08002B2CF9AE}" pid="44" name="PageHeadline">
    <vt:lpwstr/>
  </property>
</Properties>
</file>